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 tabRatio="776" firstSheet="13" activeTab="17"/>
  </bookViews>
  <sheets>
    <sheet name="1.1 Кач. планирования расходов" sheetId="16" r:id="rId1"/>
    <sheet name="1.2. Качество исполнения КП" sheetId="17" r:id="rId2"/>
    <sheet name="1.3. Доля неиспользованых БА" sheetId="6" r:id="rId3"/>
    <sheet name="1.4 Своевременность принятия БО" sheetId="5" r:id="rId4"/>
    <sheet name="1.5 Несоотв. расч-плат док" sheetId="2" r:id="rId5"/>
    <sheet name="1.6 Доля отклоненных ПГЗ" sheetId="1" r:id="rId6"/>
    <sheet name="1.7. Эффективность исп. МТ " sheetId="7" r:id="rId7"/>
    <sheet name="1.8. Эффект.управл. КЗ" sheetId="10" r:id="rId8"/>
    <sheet name="1.9. Налчие просроч.КЗ" sheetId="11" r:id="rId9"/>
    <sheet name="1.10 Приостановление операций" sheetId="3" r:id="rId10"/>
    <sheet name="2.1. Кач-во пл.пост.налог+ненал" sheetId="9" r:id="rId11"/>
    <sheet name="2.2. Качество администр. ост." sheetId="8" r:id="rId12"/>
    <sheet name="2.3 Кач-во управ. просроч.ДЗ" sheetId="12" r:id="rId13"/>
    <sheet name="3.1 Степень достовер.отчет" sheetId="14" r:id="rId14"/>
    <sheet name="3.2 Нарушение треб. к бюдж.уч." sheetId="15" r:id="rId15"/>
    <sheet name="4 Наличие на сайте ГМУ" sheetId="4" r:id="rId16"/>
    <sheet name="5 Управление активами" sheetId="21" r:id="rId17"/>
    <sheet name="ИТОГИ" sheetId="19" r:id="rId18"/>
  </sheets>
  <definedNames>
    <definedName name="_xlnm._FilterDatabase" localSheetId="10" hidden="1">'2.1. Кач-во пл.пост.налог+ненал'!$A$4:$O$17</definedName>
    <definedName name="_xlnm.Print_Area" localSheetId="1">'1.2. Качество исполнения КП'!$A$1:$AQ$24</definedName>
    <definedName name="_xlnm.Print_Area" localSheetId="10">'2.1. Кач-во пл.пост.налог+ненал'!$A$1:$I$19</definedName>
    <definedName name="_xlnm.Print_Area" localSheetId="17">ИТОГИ!$A$1:$W$23</definedName>
  </definedNames>
  <calcPr calcId="145621" iterate="1"/>
</workbook>
</file>

<file path=xl/calcChain.xml><?xml version="1.0" encoding="utf-8"?>
<calcChain xmlns="http://schemas.openxmlformats.org/spreadsheetml/2006/main">
  <c r="AV6" i="19" l="1"/>
  <c r="AV7" i="19"/>
  <c r="AV8" i="19"/>
  <c r="AV9" i="19"/>
  <c r="AV10" i="19"/>
  <c r="AV11" i="19"/>
  <c r="AV12" i="19"/>
  <c r="AV13" i="19"/>
  <c r="AV14" i="19"/>
  <c r="AV15" i="19"/>
  <c r="AV16" i="19"/>
  <c r="AV5" i="19"/>
  <c r="AU6" i="19"/>
  <c r="AU7" i="19"/>
  <c r="AU8" i="19"/>
  <c r="AU9" i="19"/>
  <c r="AU10" i="19"/>
  <c r="AU11" i="19"/>
  <c r="AU12" i="19"/>
  <c r="AU13" i="19"/>
  <c r="AU14" i="19"/>
  <c r="AU15" i="19"/>
  <c r="AU16" i="19"/>
  <c r="AU5" i="19"/>
  <c r="AT6" i="19"/>
  <c r="AT7" i="19"/>
  <c r="AT8" i="19"/>
  <c r="AT9" i="19"/>
  <c r="AT10" i="19"/>
  <c r="AT11" i="19"/>
  <c r="AT12" i="19"/>
  <c r="AT13" i="19"/>
  <c r="AT14" i="19"/>
  <c r="AT15" i="19"/>
  <c r="AT16" i="19"/>
  <c r="AT5" i="19"/>
  <c r="AS6" i="19"/>
  <c r="AS7" i="19"/>
  <c r="AS8" i="19"/>
  <c r="AS9" i="19"/>
  <c r="AS10" i="19"/>
  <c r="AS11" i="19"/>
  <c r="AS12" i="19"/>
  <c r="AS13" i="19"/>
  <c r="AS14" i="19"/>
  <c r="AS15" i="19"/>
  <c r="AS16" i="19"/>
  <c r="AS5" i="19"/>
  <c r="AR16" i="19"/>
  <c r="AR6" i="19"/>
  <c r="AR7" i="19"/>
  <c r="AR8" i="19"/>
  <c r="AR9" i="19"/>
  <c r="AR10" i="19"/>
  <c r="AR11" i="19"/>
  <c r="AR12" i="19"/>
  <c r="AR13" i="19"/>
  <c r="AR14" i="19"/>
  <c r="AR15" i="19"/>
  <c r="AR5" i="19"/>
  <c r="AQ6" i="19"/>
  <c r="AQ7" i="19"/>
  <c r="AQ8" i="19"/>
  <c r="AQ9" i="19"/>
  <c r="AQ10" i="19"/>
  <c r="AQ11" i="19"/>
  <c r="AQ12" i="19"/>
  <c r="AQ13" i="19"/>
  <c r="AQ14" i="19"/>
  <c r="AQ15" i="19"/>
  <c r="AQ16" i="19"/>
  <c r="AQ5" i="19"/>
  <c r="AP6" i="19"/>
  <c r="AP7" i="19"/>
  <c r="AP8" i="19"/>
  <c r="AP9" i="19"/>
  <c r="AP10" i="19"/>
  <c r="AP11" i="19"/>
  <c r="AP12" i="19"/>
  <c r="AP13" i="19"/>
  <c r="AP14" i="19"/>
  <c r="AP15" i="19"/>
  <c r="AP16" i="19"/>
  <c r="AP5" i="19"/>
  <c r="AO6" i="19"/>
  <c r="AO7" i="19"/>
  <c r="AO8" i="19"/>
  <c r="AO9" i="19"/>
  <c r="AO10" i="19"/>
  <c r="AO11" i="19"/>
  <c r="AO12" i="19"/>
  <c r="AO13" i="19"/>
  <c r="AO14" i="19"/>
  <c r="AO15" i="19"/>
  <c r="AO16" i="19"/>
  <c r="AO5" i="19"/>
  <c r="X6" i="19"/>
  <c r="Y5" i="19"/>
  <c r="U7" i="19" l="1"/>
  <c r="U8" i="19"/>
  <c r="U9" i="19"/>
  <c r="U10" i="19"/>
  <c r="U11" i="19"/>
  <c r="U12" i="19"/>
  <c r="U13" i="19"/>
  <c r="U14" i="19"/>
  <c r="U15" i="19"/>
  <c r="U16" i="19"/>
  <c r="U5" i="19"/>
  <c r="H19" i="8" l="1"/>
  <c r="H20" i="8" s="1"/>
  <c r="I19" i="8"/>
  <c r="I20" i="8"/>
  <c r="F17" i="7"/>
  <c r="H17" i="7"/>
  <c r="I17" i="7"/>
  <c r="H18" i="7"/>
  <c r="I18" i="7"/>
  <c r="H20" i="6"/>
  <c r="I20" i="6"/>
  <c r="G20" i="6"/>
  <c r="G19" i="6"/>
  <c r="H19" i="6"/>
  <c r="I19" i="6"/>
  <c r="AQ20" i="17" l="1"/>
  <c r="AP20" i="17"/>
  <c r="AP19" i="17"/>
  <c r="AQ19" i="17"/>
  <c r="H20" i="16"/>
  <c r="I20" i="16"/>
  <c r="G20" i="16"/>
  <c r="F19" i="16"/>
  <c r="G19" i="16"/>
  <c r="H19" i="16"/>
  <c r="I19" i="16"/>
  <c r="I20" i="5"/>
  <c r="E18" i="21" l="1"/>
  <c r="F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F7" i="21"/>
  <c r="G7" i="21" s="1"/>
  <c r="H7" i="21" s="1"/>
  <c r="U6" i="19" s="1"/>
  <c r="U17" i="19" s="1"/>
  <c r="U18" i="19" s="1"/>
  <c r="F6" i="21"/>
  <c r="G6" i="21" s="1"/>
  <c r="AN6" i="19" l="1"/>
  <c r="AN7" i="19"/>
  <c r="AN8" i="19"/>
  <c r="AN9" i="19"/>
  <c r="AN10" i="19"/>
  <c r="AN11" i="19"/>
  <c r="AN12" i="19"/>
  <c r="AN13" i="19"/>
  <c r="AN14" i="19"/>
  <c r="AN15" i="19"/>
  <c r="AN16" i="19"/>
  <c r="AH7" i="19"/>
  <c r="AN5" i="19"/>
  <c r="AP8" i="17" l="1"/>
  <c r="AP9" i="17"/>
  <c r="AP10" i="17"/>
  <c r="AP11" i="17"/>
  <c r="AP12" i="17"/>
  <c r="AP13" i="17"/>
  <c r="AP14" i="17"/>
  <c r="AP15" i="17"/>
  <c r="AP16" i="17"/>
  <c r="AP17" i="17"/>
  <c r="AP18" i="17"/>
  <c r="AP7" i="17"/>
  <c r="AO8" i="17"/>
  <c r="AO9" i="17"/>
  <c r="AO10" i="17"/>
  <c r="AO11" i="17"/>
  <c r="AO12" i="17"/>
  <c r="AO13" i="17"/>
  <c r="AO14" i="17"/>
  <c r="AO15" i="17"/>
  <c r="AO16" i="17"/>
  <c r="AO17" i="17"/>
  <c r="AO18" i="17"/>
  <c r="AO7" i="17" l="1"/>
  <c r="AT8" i="17" l="1"/>
  <c r="AT9" i="17"/>
  <c r="AT10" i="17"/>
  <c r="AT11" i="17"/>
  <c r="AT12" i="17"/>
  <c r="AT13" i="17"/>
  <c r="AT14" i="17"/>
  <c r="AT15" i="17"/>
  <c r="AT16" i="17"/>
  <c r="AT17" i="17"/>
  <c r="AT18" i="17"/>
  <c r="AT7" i="17"/>
  <c r="AS9" i="17"/>
  <c r="AS10" i="17"/>
  <c r="AS11" i="17"/>
  <c r="AS12" i="17"/>
  <c r="AS13" i="17"/>
  <c r="AS14" i="17"/>
  <c r="AS15" i="17"/>
  <c r="AS16" i="17"/>
  <c r="AS17" i="17"/>
  <c r="AS18" i="17"/>
  <c r="AS8" i="17"/>
  <c r="AS7" i="17"/>
  <c r="M7" i="17"/>
  <c r="J7" i="17"/>
  <c r="G7" i="17"/>
  <c r="AN16" i="17"/>
  <c r="AN12" i="17"/>
  <c r="AN8" i="17"/>
  <c r="AK18" i="17"/>
  <c r="AK17" i="17"/>
  <c r="AK15" i="17"/>
  <c r="AK14" i="17"/>
  <c r="AK12" i="17"/>
  <c r="AK11" i="17"/>
  <c r="AK9" i="17"/>
  <c r="AK8" i="17"/>
  <c r="AK7" i="17"/>
  <c r="AH17" i="17"/>
  <c r="AH15" i="17"/>
  <c r="AH14" i="17"/>
  <c r="AH13" i="17"/>
  <c r="AH12" i="17"/>
  <c r="AH11" i="17"/>
  <c r="AH9" i="17"/>
  <c r="AH8" i="17"/>
  <c r="AH7" i="17"/>
  <c r="AE18" i="17"/>
  <c r="AE17" i="17"/>
  <c r="AE14" i="17"/>
  <c r="AE12" i="17"/>
  <c r="AE9" i="17"/>
  <c r="AE8" i="17"/>
  <c r="AE7" i="17"/>
  <c r="AB18" i="17"/>
  <c r="AB17" i="17"/>
  <c r="AB15" i="17"/>
  <c r="AB13" i="17"/>
  <c r="AB12" i="17"/>
  <c r="AB11" i="17"/>
  <c r="AB8" i="17"/>
  <c r="AB7" i="17"/>
  <c r="Y18" i="17"/>
  <c r="Y17" i="17"/>
  <c r="Y15" i="17"/>
  <c r="Y13" i="17"/>
  <c r="Y12" i="17"/>
  <c r="Y10" i="17"/>
  <c r="Y8" i="17"/>
  <c r="Y7" i="17"/>
  <c r="V18" i="17"/>
  <c r="V17" i="17"/>
  <c r="V16" i="17"/>
  <c r="V14" i="17"/>
  <c r="V12" i="17"/>
  <c r="V10" i="17"/>
  <c r="V9" i="17"/>
  <c r="V8" i="17"/>
  <c r="V7" i="17"/>
  <c r="S17" i="17"/>
  <c r="S16" i="17"/>
  <c r="S15" i="17"/>
  <c r="S13" i="17"/>
  <c r="S12" i="17"/>
  <c r="S11" i="17"/>
  <c r="S10" i="17"/>
  <c r="S9" i="17"/>
  <c r="S7" i="17"/>
  <c r="P18" i="17"/>
  <c r="P17" i="17"/>
  <c r="P16" i="17"/>
  <c r="P15" i="17"/>
  <c r="P13" i="17"/>
  <c r="P12" i="17"/>
  <c r="P10" i="17"/>
  <c r="P8" i="17"/>
  <c r="P7" i="17"/>
  <c r="M18" i="17"/>
  <c r="M17" i="17"/>
  <c r="M16" i="17"/>
  <c r="M15" i="17"/>
  <c r="M14" i="17"/>
  <c r="M12" i="17"/>
  <c r="M10" i="17"/>
  <c r="M9" i="17"/>
  <c r="M8" i="17"/>
  <c r="J17" i="17"/>
  <c r="J16" i="17"/>
  <c r="J15" i="17"/>
  <c r="J14" i="17"/>
  <c r="J13" i="17"/>
  <c r="J12" i="17"/>
  <c r="J11" i="17"/>
  <c r="J10" i="17"/>
  <c r="J9" i="17"/>
  <c r="J8" i="17"/>
  <c r="G9" i="17"/>
  <c r="G10" i="17"/>
  <c r="G11" i="17"/>
  <c r="G12" i="17"/>
  <c r="G13" i="17"/>
  <c r="G14" i="17"/>
  <c r="G15" i="17"/>
  <c r="G16" i="17"/>
  <c r="G17" i="17"/>
  <c r="G18" i="17"/>
  <c r="G8" i="17"/>
  <c r="F19" i="17" l="1"/>
  <c r="H19" i="17"/>
  <c r="I19" i="17"/>
  <c r="K19" i="17"/>
  <c r="L19" i="17"/>
  <c r="N19" i="17"/>
  <c r="O19" i="17"/>
  <c r="Q19" i="17"/>
  <c r="R19" i="17"/>
  <c r="T19" i="17"/>
  <c r="U19" i="17"/>
  <c r="W19" i="17"/>
  <c r="X19" i="17"/>
  <c r="Z19" i="17"/>
  <c r="AA19" i="17"/>
  <c r="AC19" i="17"/>
  <c r="AD19" i="17"/>
  <c r="AF19" i="17"/>
  <c r="AG19" i="17"/>
  <c r="AI19" i="17"/>
  <c r="AJ19" i="17"/>
  <c r="AL19" i="17"/>
  <c r="AM19" i="17"/>
  <c r="G18" i="11"/>
  <c r="T7" i="19"/>
  <c r="AM7" i="19" s="1"/>
  <c r="T8" i="19"/>
  <c r="AM8" i="19" s="1"/>
  <c r="T9" i="19"/>
  <c r="AM9" i="19" s="1"/>
  <c r="T10" i="19"/>
  <c r="AM10" i="19" s="1"/>
  <c r="T16" i="19"/>
  <c r="AM16" i="19" s="1"/>
  <c r="T5" i="19"/>
  <c r="S7" i="19"/>
  <c r="AL7" i="19" s="1"/>
  <c r="S8" i="19"/>
  <c r="AL8" i="19" s="1"/>
  <c r="S9" i="19"/>
  <c r="AL9" i="19" s="1"/>
  <c r="S10" i="19"/>
  <c r="AL10" i="19" s="1"/>
  <c r="S11" i="19"/>
  <c r="AL11" i="19" s="1"/>
  <c r="S12" i="19"/>
  <c r="AL12" i="19" s="1"/>
  <c r="S13" i="19"/>
  <c r="AL13" i="19" s="1"/>
  <c r="S14" i="19"/>
  <c r="AL14" i="19" s="1"/>
  <c r="S15" i="19"/>
  <c r="AL15" i="19" s="1"/>
  <c r="S16" i="19"/>
  <c r="AL16" i="19" s="1"/>
  <c r="S5" i="19"/>
  <c r="R6" i="19"/>
  <c r="AK6" i="19" s="1"/>
  <c r="R7" i="19"/>
  <c r="AK7" i="19" s="1"/>
  <c r="R8" i="19"/>
  <c r="AK8" i="19" s="1"/>
  <c r="R9" i="19"/>
  <c r="AK9" i="19" s="1"/>
  <c r="R10" i="19"/>
  <c r="AK10" i="19" s="1"/>
  <c r="R11" i="19"/>
  <c r="AK11" i="19" s="1"/>
  <c r="R12" i="19"/>
  <c r="AK12" i="19" s="1"/>
  <c r="R13" i="19"/>
  <c r="AK13" i="19" s="1"/>
  <c r="R14" i="19"/>
  <c r="AK14" i="19" s="1"/>
  <c r="R15" i="19"/>
  <c r="AK15" i="19" s="1"/>
  <c r="R16" i="19"/>
  <c r="AK16" i="19" s="1"/>
  <c r="R5" i="19"/>
  <c r="Q5" i="19"/>
  <c r="M6" i="19"/>
  <c r="AF6" i="19" s="1"/>
  <c r="M7" i="19"/>
  <c r="AF7" i="19" s="1"/>
  <c r="M8" i="19"/>
  <c r="AF8" i="19" s="1"/>
  <c r="M9" i="19"/>
  <c r="AF9" i="19" s="1"/>
  <c r="M10" i="19"/>
  <c r="AF10" i="19" s="1"/>
  <c r="M11" i="19"/>
  <c r="AF11" i="19" s="1"/>
  <c r="M12" i="19"/>
  <c r="AF12" i="19" s="1"/>
  <c r="M13" i="19"/>
  <c r="AF13" i="19" s="1"/>
  <c r="M14" i="19"/>
  <c r="AF14" i="19" s="1"/>
  <c r="M15" i="19"/>
  <c r="AF15" i="19" s="1"/>
  <c r="M16" i="19"/>
  <c r="AF16" i="19" s="1"/>
  <c r="M5" i="19"/>
  <c r="L7" i="19"/>
  <c r="AE7" i="19" s="1"/>
  <c r="L8" i="19"/>
  <c r="AE8" i="19" s="1"/>
  <c r="L9" i="19"/>
  <c r="AE9" i="19" s="1"/>
  <c r="L10" i="19"/>
  <c r="AE10" i="19" s="1"/>
  <c r="L11" i="19"/>
  <c r="AE11" i="19" s="1"/>
  <c r="L12" i="19"/>
  <c r="AE12" i="19" s="1"/>
  <c r="L13" i="19"/>
  <c r="AE13" i="19" s="1"/>
  <c r="L14" i="19"/>
  <c r="AE14" i="19" s="1"/>
  <c r="L15" i="19"/>
  <c r="AE15" i="19" s="1"/>
  <c r="L16" i="19"/>
  <c r="AE16" i="19" s="1"/>
  <c r="L5" i="19"/>
  <c r="AQ15" i="17"/>
  <c r="F13" i="19" s="1"/>
  <c r="Y13" i="19" s="1"/>
  <c r="E19" i="17"/>
  <c r="AQ18" i="17"/>
  <c r="F16" i="19" s="1"/>
  <c r="Y16" i="19" s="1"/>
  <c r="AQ17" i="17"/>
  <c r="F15" i="19" s="1"/>
  <c r="Y15" i="19" s="1"/>
  <c r="AQ16" i="17"/>
  <c r="F14" i="19" s="1"/>
  <c r="Y14" i="19" s="1"/>
  <c r="AQ14" i="17"/>
  <c r="F12" i="19" s="1"/>
  <c r="Y12" i="19" s="1"/>
  <c r="AQ13" i="17"/>
  <c r="F11" i="19" s="1"/>
  <c r="Y11" i="19" s="1"/>
  <c r="AQ12" i="17"/>
  <c r="F10" i="19" s="1"/>
  <c r="Y10" i="19" s="1"/>
  <c r="AQ11" i="17"/>
  <c r="F9" i="19" s="1"/>
  <c r="Y9" i="19" s="1"/>
  <c r="AQ10" i="17"/>
  <c r="F8" i="19" s="1"/>
  <c r="Y8" i="19" s="1"/>
  <c r="AQ9" i="17"/>
  <c r="F7" i="19" s="1"/>
  <c r="Y7" i="19" s="1"/>
  <c r="AQ7" i="17"/>
  <c r="AE5" i="19" l="1"/>
  <c r="AK5" i="19"/>
  <c r="R17" i="19"/>
  <c r="R18" i="19" s="1"/>
  <c r="AM5" i="19"/>
  <c r="AL5" i="19"/>
  <c r="AJ5" i="19"/>
  <c r="AF5" i="19"/>
  <c r="M17" i="19"/>
  <c r="M18" i="19" s="1"/>
  <c r="F5" i="19"/>
  <c r="AS19" i="17"/>
  <c r="AT19" i="17"/>
  <c r="AQ8" i="17"/>
  <c r="F6" i="19" s="1"/>
  <c r="Y6" i="19" s="1"/>
  <c r="G8" i="16"/>
  <c r="H8" i="16" s="1"/>
  <c r="I8" i="16" s="1"/>
  <c r="E6" i="19" s="1"/>
  <c r="G9" i="16"/>
  <c r="H9" i="16" s="1"/>
  <c r="I9" i="16" s="1"/>
  <c r="E7" i="19" s="1"/>
  <c r="X7" i="19" s="1"/>
  <c r="G10" i="16"/>
  <c r="H10" i="16" s="1"/>
  <c r="I10" i="16" s="1"/>
  <c r="E8" i="19" s="1"/>
  <c r="X8" i="19" s="1"/>
  <c r="G11" i="16"/>
  <c r="H11" i="16" s="1"/>
  <c r="I11" i="16" s="1"/>
  <c r="E9" i="19" s="1"/>
  <c r="X9" i="19" s="1"/>
  <c r="G12" i="16"/>
  <c r="H12" i="16" s="1"/>
  <c r="I12" i="16" s="1"/>
  <c r="E10" i="19" s="1"/>
  <c r="X10" i="19" s="1"/>
  <c r="G13" i="16"/>
  <c r="H13" i="16" s="1"/>
  <c r="I13" i="16" s="1"/>
  <c r="E11" i="19" s="1"/>
  <c r="X11" i="19" s="1"/>
  <c r="G14" i="16"/>
  <c r="H14" i="16" s="1"/>
  <c r="I14" i="16" s="1"/>
  <c r="E12" i="19" s="1"/>
  <c r="X12" i="19" s="1"/>
  <c r="G15" i="16"/>
  <c r="H15" i="16" s="1"/>
  <c r="I15" i="16" s="1"/>
  <c r="E13" i="19" s="1"/>
  <c r="X13" i="19" s="1"/>
  <c r="G16" i="16"/>
  <c r="H16" i="16" s="1"/>
  <c r="I16" i="16" s="1"/>
  <c r="E14" i="19" s="1"/>
  <c r="X14" i="19" s="1"/>
  <c r="G17" i="16"/>
  <c r="H17" i="16" s="1"/>
  <c r="I17" i="16" s="1"/>
  <c r="E15" i="19" s="1"/>
  <c r="X15" i="19" s="1"/>
  <c r="G18" i="16"/>
  <c r="H18" i="16" s="1"/>
  <c r="I18" i="16" s="1"/>
  <c r="E16" i="19" s="1"/>
  <c r="X16" i="19" s="1"/>
  <c r="G7" i="16"/>
  <c r="H7" i="16" s="1"/>
  <c r="I7" i="16" s="1"/>
  <c r="E5" i="19" s="1"/>
  <c r="F17" i="19" l="1"/>
  <c r="F18" i="19" s="1"/>
  <c r="X5" i="19"/>
  <c r="E17" i="19"/>
  <c r="E18" i="19" s="1"/>
  <c r="E19" i="16"/>
  <c r="F7" i="15" l="1"/>
  <c r="H7" i="15" s="1"/>
  <c r="S6" i="19" s="1"/>
  <c r="F8" i="15"/>
  <c r="F9" i="15"/>
  <c r="F10" i="15"/>
  <c r="F11" i="15"/>
  <c r="F12" i="15"/>
  <c r="G12" i="15" s="1"/>
  <c r="F13" i="15"/>
  <c r="F14" i="15"/>
  <c r="F15" i="15"/>
  <c r="F16" i="15"/>
  <c r="G16" i="15" s="1"/>
  <c r="F17" i="15"/>
  <c r="F6" i="15"/>
  <c r="G6" i="15" s="1"/>
  <c r="E18" i="15"/>
  <c r="F18" i="15" s="1"/>
  <c r="G17" i="15"/>
  <c r="G11" i="15"/>
  <c r="G10" i="15"/>
  <c r="G9" i="15"/>
  <c r="G8" i="15"/>
  <c r="H8" i="14"/>
  <c r="H10" i="14"/>
  <c r="H12" i="14"/>
  <c r="G14" i="14"/>
  <c r="H16" i="14"/>
  <c r="H6" i="14"/>
  <c r="F18" i="14"/>
  <c r="E18" i="14"/>
  <c r="H17" i="14"/>
  <c r="H15" i="14"/>
  <c r="H11" i="14"/>
  <c r="H9" i="14"/>
  <c r="F18" i="4"/>
  <c r="E18" i="4"/>
  <c r="AL6" i="19" l="1"/>
  <c r="S17" i="19"/>
  <c r="S18" i="19" s="1"/>
  <c r="G18" i="14"/>
  <c r="G8" i="12"/>
  <c r="G11" i="12"/>
  <c r="G13" i="12"/>
  <c r="H13" i="12" s="1"/>
  <c r="I13" i="12" s="1"/>
  <c r="Q11" i="19" s="1"/>
  <c r="AJ11" i="19" s="1"/>
  <c r="G15" i="12"/>
  <c r="G16" i="12"/>
  <c r="G17" i="12"/>
  <c r="G18" i="12"/>
  <c r="H18" i="12" s="1"/>
  <c r="G7" i="12"/>
  <c r="F19" i="12"/>
  <c r="E19" i="12"/>
  <c r="I18" i="12"/>
  <c r="Q16" i="19" s="1"/>
  <c r="AJ16" i="19" s="1"/>
  <c r="I17" i="12"/>
  <c r="Q15" i="19" s="1"/>
  <c r="AJ15" i="19" s="1"/>
  <c r="I16" i="12"/>
  <c r="Q14" i="19" s="1"/>
  <c r="AJ14" i="19" s="1"/>
  <c r="I15" i="12"/>
  <c r="Q13" i="19" s="1"/>
  <c r="AJ13" i="19" s="1"/>
  <c r="I14" i="12"/>
  <c r="Q12" i="19" s="1"/>
  <c r="AJ12" i="19" s="1"/>
  <c r="I12" i="12"/>
  <c r="Q10" i="19" s="1"/>
  <c r="AJ10" i="19" s="1"/>
  <c r="I11" i="12"/>
  <c r="Q9" i="19" s="1"/>
  <c r="AJ9" i="19" s="1"/>
  <c r="I10" i="12"/>
  <c r="Q8" i="19" s="1"/>
  <c r="AJ8" i="19" s="1"/>
  <c r="I9" i="12"/>
  <c r="Q7" i="19" s="1"/>
  <c r="AJ7" i="19" s="1"/>
  <c r="I8" i="12"/>
  <c r="F18" i="11"/>
  <c r="E18" i="11"/>
  <c r="G7" i="10"/>
  <c r="G8" i="10"/>
  <c r="G9" i="10"/>
  <c r="G10" i="10"/>
  <c r="G11" i="10"/>
  <c r="G12" i="10"/>
  <c r="G13" i="10"/>
  <c r="G14" i="10"/>
  <c r="G15" i="10"/>
  <c r="G16" i="10"/>
  <c r="G17" i="10"/>
  <c r="G6" i="10"/>
  <c r="J7" i="10"/>
  <c r="K7" i="10" s="1"/>
  <c r="L7" i="10" s="1"/>
  <c r="L6" i="19" s="1"/>
  <c r="J8" i="10"/>
  <c r="J9" i="10"/>
  <c r="K9" i="10" s="1"/>
  <c r="J10" i="10"/>
  <c r="K10" i="10" s="1"/>
  <c r="J11" i="10"/>
  <c r="K11" i="10" s="1"/>
  <c r="J12" i="10"/>
  <c r="K12" i="10" s="1"/>
  <c r="J13" i="10"/>
  <c r="K13" i="10" s="1"/>
  <c r="J14" i="10"/>
  <c r="K14" i="10" s="1"/>
  <c r="J15" i="10"/>
  <c r="K15" i="10" s="1"/>
  <c r="J16" i="10"/>
  <c r="K16" i="10" s="1"/>
  <c r="J17" i="10"/>
  <c r="K17" i="10" s="1"/>
  <c r="J6" i="10"/>
  <c r="K6" i="10" s="1"/>
  <c r="I18" i="10"/>
  <c r="H18" i="10"/>
  <c r="F18" i="10"/>
  <c r="E18" i="10"/>
  <c r="AE6" i="19" l="1"/>
  <c r="L17" i="19"/>
  <c r="L18" i="19" s="1"/>
  <c r="I19" i="12"/>
  <c r="Q6" i="19"/>
  <c r="G19" i="12"/>
  <c r="J18" i="10"/>
  <c r="J20" i="10" s="1"/>
  <c r="G18" i="10"/>
  <c r="G20" i="10" s="1"/>
  <c r="K8" i="10"/>
  <c r="I16" i="9"/>
  <c r="O16" i="19" s="1"/>
  <c r="AH16" i="19" s="1"/>
  <c r="H17" i="9"/>
  <c r="AJ6" i="19" l="1"/>
  <c r="Q17" i="19"/>
  <c r="Q18" i="19" s="1"/>
  <c r="G5" i="9"/>
  <c r="I6" i="9"/>
  <c r="O6" i="19" s="1"/>
  <c r="AH6" i="19" s="1"/>
  <c r="F17" i="9"/>
  <c r="E17" i="9"/>
  <c r="G7" i="9"/>
  <c r="G8" i="9"/>
  <c r="G9" i="9"/>
  <c r="G10" i="9"/>
  <c r="G11" i="9"/>
  <c r="G12" i="9"/>
  <c r="G13" i="9"/>
  <c r="G14" i="9"/>
  <c r="G15" i="9"/>
  <c r="G16" i="9"/>
  <c r="I15" i="9"/>
  <c r="O15" i="19" s="1"/>
  <c r="AH15" i="19" s="1"/>
  <c r="I14" i="9"/>
  <c r="O14" i="19" s="1"/>
  <c r="AH14" i="19" s="1"/>
  <c r="I13" i="9"/>
  <c r="O13" i="19" s="1"/>
  <c r="AH13" i="19" s="1"/>
  <c r="I12" i="9"/>
  <c r="O12" i="19" s="1"/>
  <c r="AH12" i="19" s="1"/>
  <c r="I11" i="9"/>
  <c r="O11" i="19" s="1"/>
  <c r="AH11" i="19" s="1"/>
  <c r="I10" i="9"/>
  <c r="O10" i="19" s="1"/>
  <c r="AH10" i="19" s="1"/>
  <c r="I9" i="9"/>
  <c r="O9" i="19" s="1"/>
  <c r="AH9" i="19" s="1"/>
  <c r="I8" i="9"/>
  <c r="O8" i="19" s="1"/>
  <c r="AH8" i="19" s="1"/>
  <c r="I7" i="9"/>
  <c r="G6" i="9"/>
  <c r="I5" i="9"/>
  <c r="I17" i="9" l="1"/>
  <c r="O5" i="19"/>
  <c r="G17" i="9"/>
  <c r="G9" i="8"/>
  <c r="G10" i="8"/>
  <c r="G11" i="8"/>
  <c r="G12" i="8"/>
  <c r="G13" i="8"/>
  <c r="G14" i="8"/>
  <c r="G15" i="8"/>
  <c r="G16" i="8"/>
  <c r="G17" i="8"/>
  <c r="G18" i="8"/>
  <c r="G7" i="8"/>
  <c r="F19" i="8"/>
  <c r="E19" i="8"/>
  <c r="I18" i="8"/>
  <c r="P16" i="19" s="1"/>
  <c r="AI16" i="19" s="1"/>
  <c r="I17" i="8"/>
  <c r="P15" i="19" s="1"/>
  <c r="AI15" i="19" s="1"/>
  <c r="I16" i="8"/>
  <c r="P14" i="19" s="1"/>
  <c r="AI14" i="19" s="1"/>
  <c r="I15" i="8"/>
  <c r="P13" i="19" s="1"/>
  <c r="AI13" i="19" s="1"/>
  <c r="I14" i="8"/>
  <c r="P12" i="19" s="1"/>
  <c r="AI12" i="19" s="1"/>
  <c r="I13" i="8"/>
  <c r="P11" i="19" s="1"/>
  <c r="AI11" i="19" s="1"/>
  <c r="I12" i="8"/>
  <c r="P10" i="19" s="1"/>
  <c r="AI10" i="19" s="1"/>
  <c r="I11" i="8"/>
  <c r="P9" i="19" s="1"/>
  <c r="AI9" i="19" s="1"/>
  <c r="I10" i="8"/>
  <c r="P8" i="19" s="1"/>
  <c r="AI8" i="19" s="1"/>
  <c r="I9" i="8"/>
  <c r="P7" i="19" s="1"/>
  <c r="AI7" i="19" s="1"/>
  <c r="I8" i="8"/>
  <c r="P6" i="19" s="1"/>
  <c r="AI6" i="19" s="1"/>
  <c r="G8" i="8"/>
  <c r="I7" i="8"/>
  <c r="G6" i="7"/>
  <c r="G11" i="7"/>
  <c r="G12" i="7"/>
  <c r="G13" i="7"/>
  <c r="G14" i="7"/>
  <c r="G16" i="7"/>
  <c r="E17" i="7"/>
  <c r="I16" i="7"/>
  <c r="K16" i="19" s="1"/>
  <c r="AD16" i="19" s="1"/>
  <c r="I15" i="7"/>
  <c r="K15" i="19" s="1"/>
  <c r="AD15" i="19" s="1"/>
  <c r="I14" i="7"/>
  <c r="K14" i="19" s="1"/>
  <c r="AD14" i="19" s="1"/>
  <c r="I13" i="7"/>
  <c r="K13" i="19" s="1"/>
  <c r="AD13" i="19" s="1"/>
  <c r="I12" i="7"/>
  <c r="K12" i="19" s="1"/>
  <c r="AD12" i="19" s="1"/>
  <c r="I11" i="7"/>
  <c r="K11" i="19" s="1"/>
  <c r="AD11" i="19" s="1"/>
  <c r="I10" i="7"/>
  <c r="K10" i="19" s="1"/>
  <c r="AD10" i="19" s="1"/>
  <c r="I9" i="7"/>
  <c r="K9" i="19" s="1"/>
  <c r="AD9" i="19" s="1"/>
  <c r="I8" i="7"/>
  <c r="K8" i="19" s="1"/>
  <c r="AD8" i="19" s="1"/>
  <c r="I7" i="7"/>
  <c r="K7" i="19" s="1"/>
  <c r="AD7" i="19" s="1"/>
  <c r="I5" i="7"/>
  <c r="AH5" i="19" l="1"/>
  <c r="O17" i="19"/>
  <c r="O18" i="19" s="1"/>
  <c r="P5" i="19"/>
  <c r="K5" i="19"/>
  <c r="I6" i="7"/>
  <c r="K6" i="19" s="1"/>
  <c r="AD6" i="19" s="1"/>
  <c r="G8" i="6"/>
  <c r="H8" i="6" s="1"/>
  <c r="G9" i="6"/>
  <c r="G10" i="6"/>
  <c r="G11" i="6"/>
  <c r="I11" i="6" s="1"/>
  <c r="G9" i="19" s="1"/>
  <c r="Z9" i="19" s="1"/>
  <c r="G12" i="6"/>
  <c r="G13" i="6"/>
  <c r="I13" i="6" s="1"/>
  <c r="G11" i="19" s="1"/>
  <c r="Z11" i="19" s="1"/>
  <c r="G14" i="6"/>
  <c r="G15" i="6"/>
  <c r="H15" i="6" s="1"/>
  <c r="I15" i="6" s="1"/>
  <c r="G13" i="19" s="1"/>
  <c r="Z13" i="19" s="1"/>
  <c r="G16" i="6"/>
  <c r="H16" i="6" s="1"/>
  <c r="I16" i="6" s="1"/>
  <c r="G14" i="19" s="1"/>
  <c r="Z14" i="19" s="1"/>
  <c r="G17" i="6"/>
  <c r="I17" i="6" s="1"/>
  <c r="G15" i="19" s="1"/>
  <c r="Z15" i="19" s="1"/>
  <c r="G18" i="6"/>
  <c r="G7" i="6"/>
  <c r="F19" i="6"/>
  <c r="E19" i="6"/>
  <c r="I18" i="6"/>
  <c r="G16" i="19" s="1"/>
  <c r="Z16" i="19" s="1"/>
  <c r="I14" i="6"/>
  <c r="G12" i="19" s="1"/>
  <c r="Z12" i="19" s="1"/>
  <c r="I12" i="6"/>
  <c r="G10" i="19" s="1"/>
  <c r="Z10" i="19" s="1"/>
  <c r="I10" i="6"/>
  <c r="G8" i="19" s="1"/>
  <c r="Z8" i="19" s="1"/>
  <c r="I7" i="6"/>
  <c r="G12" i="5"/>
  <c r="I8" i="5"/>
  <c r="H7" i="19" s="1"/>
  <c r="AA7" i="19" s="1"/>
  <c r="I9" i="5"/>
  <c r="H8" i="19" s="1"/>
  <c r="AA8" i="19" s="1"/>
  <c r="I10" i="5"/>
  <c r="H9" i="19" s="1"/>
  <c r="AA9" i="19" s="1"/>
  <c r="I11" i="5"/>
  <c r="H10" i="19" s="1"/>
  <c r="AA10" i="19" s="1"/>
  <c r="I12" i="5"/>
  <c r="H11" i="19" s="1"/>
  <c r="AA11" i="19" s="1"/>
  <c r="I13" i="5"/>
  <c r="H12" i="19" s="1"/>
  <c r="AA12" i="19" s="1"/>
  <c r="I14" i="5"/>
  <c r="H13" i="19" s="1"/>
  <c r="AA13" i="19" s="1"/>
  <c r="I15" i="5"/>
  <c r="H14" i="19" s="1"/>
  <c r="AA14" i="19" s="1"/>
  <c r="I16" i="5"/>
  <c r="H15" i="19" s="1"/>
  <c r="AA15" i="19" s="1"/>
  <c r="I17" i="5"/>
  <c r="H16" i="19" s="1"/>
  <c r="AA16" i="19" s="1"/>
  <c r="I7" i="5"/>
  <c r="H6" i="19" s="1"/>
  <c r="AA6" i="19" s="1"/>
  <c r="I6" i="5"/>
  <c r="G13" i="5"/>
  <c r="G6" i="5"/>
  <c r="G7" i="5"/>
  <c r="G8" i="5"/>
  <c r="G9" i="5"/>
  <c r="G10" i="5"/>
  <c r="G11" i="5"/>
  <c r="G14" i="5"/>
  <c r="G15" i="5"/>
  <c r="G16" i="5"/>
  <c r="G17" i="5"/>
  <c r="E18" i="5"/>
  <c r="F18" i="5"/>
  <c r="H8" i="1"/>
  <c r="H9" i="1"/>
  <c r="H10" i="1"/>
  <c r="H11" i="1"/>
  <c r="H12" i="1"/>
  <c r="H13" i="1"/>
  <c r="I13" i="1" s="1"/>
  <c r="J12" i="19" s="1"/>
  <c r="AC12" i="19" s="1"/>
  <c r="H14" i="1"/>
  <c r="H15" i="1"/>
  <c r="H16" i="1"/>
  <c r="I16" i="1" s="1"/>
  <c r="J15" i="19" s="1"/>
  <c r="AC15" i="19" s="1"/>
  <c r="H17" i="1"/>
  <c r="I17" i="1" s="1"/>
  <c r="J16" i="19" s="1"/>
  <c r="AC16" i="19" s="1"/>
  <c r="H6" i="1"/>
  <c r="H7" i="1"/>
  <c r="I8" i="1"/>
  <c r="J7" i="19" s="1"/>
  <c r="AC7" i="19" s="1"/>
  <c r="I9" i="1"/>
  <c r="J8" i="19" s="1"/>
  <c r="AC8" i="19" s="1"/>
  <c r="I10" i="1"/>
  <c r="J9" i="19" s="1"/>
  <c r="AC9" i="19" s="1"/>
  <c r="I11" i="1"/>
  <c r="J10" i="19" s="1"/>
  <c r="AC10" i="19" s="1"/>
  <c r="I12" i="1"/>
  <c r="J11" i="19" s="1"/>
  <c r="AC11" i="19" s="1"/>
  <c r="I14" i="1"/>
  <c r="J13" i="19" s="1"/>
  <c r="AC13" i="19" s="1"/>
  <c r="I15" i="1"/>
  <c r="J14" i="19" s="1"/>
  <c r="AC14" i="19" s="1"/>
  <c r="I7" i="1"/>
  <c r="J6" i="19" s="1"/>
  <c r="AC6" i="19" s="1"/>
  <c r="I6" i="1"/>
  <c r="G7" i="3"/>
  <c r="H7" i="3" s="1"/>
  <c r="N6" i="19" s="1"/>
  <c r="AG6" i="19" s="1"/>
  <c r="G8" i="3"/>
  <c r="H8" i="3" s="1"/>
  <c r="N7" i="19" s="1"/>
  <c r="AG7" i="19" s="1"/>
  <c r="G9" i="3"/>
  <c r="H9" i="3" s="1"/>
  <c r="N8" i="19" s="1"/>
  <c r="AG8" i="19" s="1"/>
  <c r="G10" i="3"/>
  <c r="H10" i="3" s="1"/>
  <c r="N9" i="19" s="1"/>
  <c r="AG9" i="19" s="1"/>
  <c r="G11" i="3"/>
  <c r="H11" i="3" s="1"/>
  <c r="N10" i="19" s="1"/>
  <c r="AG10" i="19" s="1"/>
  <c r="G12" i="3"/>
  <c r="H12" i="3" s="1"/>
  <c r="N11" i="19" s="1"/>
  <c r="AG11" i="19" s="1"/>
  <c r="G13" i="3"/>
  <c r="H13" i="3" s="1"/>
  <c r="N12" i="19" s="1"/>
  <c r="AG12" i="19" s="1"/>
  <c r="G14" i="3"/>
  <c r="H14" i="3" s="1"/>
  <c r="N13" i="19" s="1"/>
  <c r="AG13" i="19" s="1"/>
  <c r="G15" i="3"/>
  <c r="H15" i="3" s="1"/>
  <c r="N14" i="19" s="1"/>
  <c r="AG14" i="19" s="1"/>
  <c r="G16" i="3"/>
  <c r="H16" i="3" s="1"/>
  <c r="N15" i="19" s="1"/>
  <c r="AG15" i="19" s="1"/>
  <c r="G17" i="3"/>
  <c r="H17" i="3" s="1"/>
  <c r="N16" i="19" s="1"/>
  <c r="AG16" i="19" s="1"/>
  <c r="G6" i="3"/>
  <c r="H6" i="3" s="1"/>
  <c r="G13" i="4"/>
  <c r="G14" i="4"/>
  <c r="H14" i="4" s="1"/>
  <c r="I14" i="4" s="1"/>
  <c r="T13" i="19" s="1"/>
  <c r="AM13" i="19" s="1"/>
  <c r="G15" i="4"/>
  <c r="H15" i="4" s="1"/>
  <c r="I15" i="4" s="1"/>
  <c r="T14" i="19" s="1"/>
  <c r="AM14" i="19" s="1"/>
  <c r="G16" i="4"/>
  <c r="H16" i="4" s="1"/>
  <c r="I16" i="4" s="1"/>
  <c r="T15" i="19" s="1"/>
  <c r="AM15" i="19" s="1"/>
  <c r="H13" i="4"/>
  <c r="I13" i="4" s="1"/>
  <c r="T12" i="19" s="1"/>
  <c r="AM12" i="19" s="1"/>
  <c r="G12" i="4"/>
  <c r="H12" i="4" s="1"/>
  <c r="I12" i="4" s="1"/>
  <c r="T11" i="19" s="1"/>
  <c r="AM11" i="19" s="1"/>
  <c r="G7" i="4"/>
  <c r="F18" i="3"/>
  <c r="F20" i="3" s="1"/>
  <c r="E18" i="3"/>
  <c r="AD5" i="19" l="1"/>
  <c r="K17" i="19"/>
  <c r="K18" i="19" s="1"/>
  <c r="AI5" i="19"/>
  <c r="P17" i="19"/>
  <c r="P18" i="19" s="1"/>
  <c r="H18" i="3"/>
  <c r="N5" i="19"/>
  <c r="I18" i="1"/>
  <c r="J5" i="19"/>
  <c r="I18" i="5"/>
  <c r="H5" i="19"/>
  <c r="G5" i="19"/>
  <c r="I8" i="6"/>
  <c r="G6" i="19" s="1"/>
  <c r="Z6" i="19" s="1"/>
  <c r="G18" i="4"/>
  <c r="I9" i="6"/>
  <c r="G7" i="19" s="1"/>
  <c r="Z7" i="19" s="1"/>
  <c r="G18" i="5"/>
  <c r="G20" i="5" s="1"/>
  <c r="H7" i="4"/>
  <c r="I7" i="4" s="1"/>
  <c r="AA5" i="19" l="1"/>
  <c r="H17" i="19"/>
  <c r="H18" i="19" s="1"/>
  <c r="AC5" i="19"/>
  <c r="J17" i="19"/>
  <c r="J18" i="19" s="1"/>
  <c r="AG5" i="19"/>
  <c r="N17" i="19"/>
  <c r="N18" i="19" s="1"/>
  <c r="Z5" i="19"/>
  <c r="G17" i="19"/>
  <c r="G18" i="19" s="1"/>
  <c r="T6" i="19"/>
  <c r="I18" i="4"/>
  <c r="G18" i="1"/>
  <c r="G20" i="1" s="1"/>
  <c r="AM6" i="19" l="1"/>
  <c r="T17" i="19"/>
  <c r="T18" i="19" s="1"/>
  <c r="G17" i="2"/>
  <c r="H17" i="2" s="1"/>
  <c r="I17" i="2" s="1"/>
  <c r="I16" i="19" s="1"/>
  <c r="G16" i="2"/>
  <c r="H16" i="2" s="1"/>
  <c r="I16" i="2" s="1"/>
  <c r="I15" i="19" s="1"/>
  <c r="G15" i="2"/>
  <c r="H15" i="2" s="1"/>
  <c r="I15" i="2" s="1"/>
  <c r="I14" i="19" s="1"/>
  <c r="G14" i="2"/>
  <c r="H14" i="2" s="1"/>
  <c r="I14" i="2" s="1"/>
  <c r="I13" i="19" s="1"/>
  <c r="G13" i="2"/>
  <c r="H13" i="2" s="1"/>
  <c r="I13" i="2" s="1"/>
  <c r="I12" i="19" s="1"/>
  <c r="G12" i="2"/>
  <c r="H12" i="2" s="1"/>
  <c r="I12" i="2" s="1"/>
  <c r="I11" i="19" s="1"/>
  <c r="G11" i="2"/>
  <c r="H11" i="2" s="1"/>
  <c r="I11" i="2" s="1"/>
  <c r="I10" i="19" s="1"/>
  <c r="G10" i="2"/>
  <c r="H10" i="2" s="1"/>
  <c r="I10" i="2" s="1"/>
  <c r="I9" i="19" s="1"/>
  <c r="G9" i="2"/>
  <c r="H9" i="2" s="1"/>
  <c r="I9" i="2" s="1"/>
  <c r="I8" i="19" s="1"/>
  <c r="G8" i="2"/>
  <c r="H8" i="2" s="1"/>
  <c r="I8" i="2" s="1"/>
  <c r="I7" i="19" s="1"/>
  <c r="G7" i="2"/>
  <c r="H7" i="2" s="1"/>
  <c r="I7" i="2" s="1"/>
  <c r="I6" i="19" s="1"/>
  <c r="G6" i="2"/>
  <c r="H6" i="2" s="1"/>
  <c r="I6" i="2" s="1"/>
  <c r="F18" i="2"/>
  <c r="E18" i="2"/>
  <c r="F18" i="1"/>
  <c r="E18" i="1"/>
  <c r="AB6" i="19" l="1"/>
  <c r="V6" i="19"/>
  <c r="V8" i="19"/>
  <c r="AB8" i="19"/>
  <c r="V10" i="19"/>
  <c r="AB10" i="19"/>
  <c r="V12" i="19"/>
  <c r="AB12" i="19"/>
  <c r="V14" i="19"/>
  <c r="AB14" i="19"/>
  <c r="V16" i="19"/>
  <c r="AB16" i="19"/>
  <c r="I18" i="2"/>
  <c r="I5" i="19"/>
  <c r="AB7" i="19"/>
  <c r="V7" i="19"/>
  <c r="V9" i="19"/>
  <c r="AB9" i="19"/>
  <c r="V11" i="19"/>
  <c r="AB11" i="19"/>
  <c r="V13" i="19"/>
  <c r="AB13" i="19"/>
  <c r="V15" i="19"/>
  <c r="AB15" i="19"/>
  <c r="G18" i="2"/>
  <c r="AB5" i="19" l="1"/>
  <c r="I17" i="19"/>
  <c r="I18" i="19" s="1"/>
  <c r="V5" i="19"/>
  <c r="V17" i="19" s="1"/>
  <c r="V18" i="19" s="1"/>
</calcChain>
</file>

<file path=xl/sharedStrings.xml><?xml version="1.0" encoding="utf-8"?>
<sst xmlns="http://schemas.openxmlformats.org/spreadsheetml/2006/main" count="1224" uniqueCount="222">
  <si>
    <t>2020 год</t>
  </si>
  <si>
    <t>№ п/п</t>
  </si>
  <si>
    <t>ИНН</t>
  </si>
  <si>
    <t>ГРБС</t>
  </si>
  <si>
    <t>Планы-ГРАФИКИ закупок</t>
  </si>
  <si>
    <t>Всего поступило</t>
  </si>
  <si>
    <t>отклонено</t>
  </si>
  <si>
    <t>N</t>
  </si>
  <si>
    <t>No</t>
  </si>
  <si>
    <t>1</t>
  </si>
  <si>
    <t>901</t>
  </si>
  <si>
    <t>2352037768</t>
  </si>
  <si>
    <t xml:space="preserve">СОВЕТ МУНИЦИПАЛЬНОГО ОБРАЗОВАНИЯ </t>
  </si>
  <si>
    <t>902</t>
  </si>
  <si>
    <t>2352023878</t>
  </si>
  <si>
    <t>АДМИНИСТРАЦИЯ МО ТЕМРЮКСКИЙ РАЙОН</t>
  </si>
  <si>
    <t>2</t>
  </si>
  <si>
    <t>3</t>
  </si>
  <si>
    <t>4</t>
  </si>
  <si>
    <t>5</t>
  </si>
  <si>
    <t>6</t>
  </si>
  <si>
    <t>7</t>
  </si>
  <si>
    <t>8</t>
  </si>
  <si>
    <t>905</t>
  </si>
  <si>
    <t>2352045416</t>
  </si>
  <si>
    <t>ФИНАНСОВОЕ УПРАВЛЕНИЕ МОТР</t>
  </si>
  <si>
    <t>908</t>
  </si>
  <si>
    <t>2352050350</t>
  </si>
  <si>
    <t>ОТДЕЛ ВНУТРЕННЕГО ФИНАНСОВОГО КОНТРОЛЯ</t>
  </si>
  <si>
    <t>910</t>
  </si>
  <si>
    <t>2352048079</t>
  </si>
  <si>
    <t xml:space="preserve">КОНТРОЛЬНО-СЧЕТНАЯ ПАЛАТА МУНИЦИПАЛЬНОГО ОБРАЗОВАНИЯ </t>
  </si>
  <si>
    <t>921</t>
  </si>
  <si>
    <t>2352054072</t>
  </si>
  <si>
    <t>УПРАВЛЕНИЕ МУНИЦИПАЛЬНОГО КОНТРОЛЯ</t>
  </si>
  <si>
    <t>924</t>
  </si>
  <si>
    <t>2352050423</t>
  </si>
  <si>
    <t>УКС И ТЭК</t>
  </si>
  <si>
    <t>12</t>
  </si>
  <si>
    <t>2352016528</t>
  </si>
  <si>
    <t>УПРАВЛЕНИЕ ОБРАЗОВАНИЕМ</t>
  </si>
  <si>
    <t>925</t>
  </si>
  <si>
    <t>926</t>
  </si>
  <si>
    <t>2352016510</t>
  </si>
  <si>
    <t>УПРАВЛЕНИЕ КУЛЬТУРЫ</t>
  </si>
  <si>
    <t>929</t>
  </si>
  <si>
    <t>2352046473</t>
  </si>
  <si>
    <t>ОФК И С АДМИНИСТРАЦИИ МОТР.</t>
  </si>
  <si>
    <t>934</t>
  </si>
  <si>
    <t>2352031364</t>
  </si>
  <si>
    <t>ОТДЕЛ ПО ДЕЛАМ МОЛОДЕЖИ</t>
  </si>
  <si>
    <t>953</t>
  </si>
  <si>
    <t>2352045529</t>
  </si>
  <si>
    <t>УПРАВЛЕНИЕ ПО ВОПРОСАМ СЕМЬИ И ДЕТСТВА</t>
  </si>
  <si>
    <t>Заявки на КР</t>
  </si>
  <si>
    <t>E (P)</t>
  </si>
  <si>
    <t>средний показатель</t>
  </si>
  <si>
    <t>P=(No/N)*100, %</t>
  </si>
  <si>
    <t>Вес показателя - 5</t>
  </si>
  <si>
    <t>итого</t>
  </si>
  <si>
    <t>Оценка показателя</t>
  </si>
  <si>
    <t>Приостановление операций по расходованию средств на лицевых счетах ПБС</t>
  </si>
  <si>
    <t>Уведомления о приостановлении операций</t>
  </si>
  <si>
    <t>P=Po</t>
  </si>
  <si>
    <t>P*=10</t>
  </si>
  <si>
    <t>1-(P/P*), если Р&lt;P*                      0, если Р≥P*</t>
  </si>
  <si>
    <r>
      <t>P=(N</t>
    </r>
    <r>
      <rPr>
        <sz val="13.2"/>
        <color theme="1"/>
        <rFont val="Times New Roman"/>
        <family val="1"/>
        <charset val="204"/>
      </rPr>
      <t>i/N)*100</t>
    </r>
  </si>
  <si>
    <t>Наличие на официальном сайте в сети Интернет по размещению информации о муниципальных учреждениях (МУ)</t>
  </si>
  <si>
    <t>Общее количество МУ</t>
  </si>
  <si>
    <t>Ni</t>
  </si>
  <si>
    <t xml:space="preserve">Количество МУ, разместивших сведения </t>
  </si>
  <si>
    <t>не применяется</t>
  </si>
  <si>
    <t>Оценка показателя E (P)</t>
  </si>
  <si>
    <t>Оценка показателя                E (P)</t>
  </si>
  <si>
    <t>Оценка показателя   E (P)</t>
  </si>
  <si>
    <t>Своевременность принятия БО</t>
  </si>
  <si>
    <t>отчётный период</t>
  </si>
  <si>
    <t>Sra</t>
  </si>
  <si>
    <t>Lra</t>
  </si>
  <si>
    <t>P=1-(Sra/Lra)</t>
  </si>
  <si>
    <t>Расчёт показателя</t>
  </si>
  <si>
    <t>Объём поставленных на учёт БО (КРКС 110)</t>
  </si>
  <si>
    <t>Объём ЛБО (КРКС 110)</t>
  </si>
  <si>
    <t>1.4. Своевременность принятия бюджетных обязательств</t>
  </si>
  <si>
    <t>1.6 Доля отклоненных планов-графиков (изменений в планы-графики) закупок, представленных в финансовое управление в рамках возложенных функций по осуществлению контроля в сфере закупок</t>
  </si>
  <si>
    <t>1.10 Приостановление операций по расходованию средств на лицевых счетах подведомственных главному администратору получателей средств районного бюджета в связи с нарушением процедур исполнения судебных актов, предусматривающих обращение взыскания на средства районного бюджета по обязательствам муниципальных казенных учреждений</t>
  </si>
  <si>
    <t>4. Наличие на официальном сайте в сети Интернет по размещению информации о государственных и муниципальных учреждениях (www.bus.gov.ru) сведений о муниципальных учреждениях</t>
  </si>
  <si>
    <t>2019 справочно</t>
  </si>
  <si>
    <t>1-(P/100), если Р≤10%                0, если P&gt;10%</t>
  </si>
  <si>
    <t>1-(P/100) ͣ, если Р≤10% 0, если P&gt;10%</t>
  </si>
  <si>
    <t>1, если Р≤0,1       0 в иных случаях</t>
  </si>
  <si>
    <t>Начальник отдела казначейского контроля                                                                                     С.П. Кириченко</t>
  </si>
  <si>
    <t>1.3 Доля неисполненных на конец года бюджетных ассигнованиях в 2020 году</t>
  </si>
  <si>
    <t>Bra</t>
  </si>
  <si>
    <t>Era</t>
  </si>
  <si>
    <t>P=(Bra-Era)/Bra</t>
  </si>
  <si>
    <r>
      <t>E(P)=(0,1-P)/0,08,    1,если Р≤0,02 и 0, если P</t>
    </r>
    <r>
      <rPr>
        <sz val="12"/>
        <color theme="1"/>
        <rFont val="Calibri"/>
        <family val="2"/>
        <charset val="204"/>
      </rPr>
      <t>≥</t>
    </r>
    <r>
      <rPr>
        <sz val="12"/>
        <color theme="1"/>
        <rFont val="Times New Roman"/>
        <family val="1"/>
        <charset val="204"/>
      </rPr>
      <t>0,1</t>
    </r>
  </si>
  <si>
    <t>1.7. Эффективность использования межбюджетных трансфертов, имеющих целевое назначение, полученных из краевого бюджета в 2020 году</t>
  </si>
  <si>
    <t>Объем расходов 2020 года</t>
  </si>
  <si>
    <t>ПЛАН</t>
  </si>
  <si>
    <t>Исполнено</t>
  </si>
  <si>
    <t>Объем расходов за счет МТ в 2020 года (из краевого и федерального бюджетов)</t>
  </si>
  <si>
    <r>
      <t>n</t>
    </r>
    <r>
      <rPr>
        <sz val="8"/>
        <color theme="1"/>
        <rFont val="Times New Roman"/>
        <family val="1"/>
        <charset val="204"/>
      </rPr>
      <t>a</t>
    </r>
  </si>
  <si>
    <r>
      <t>N</t>
    </r>
    <r>
      <rPr>
        <sz val="8"/>
        <color theme="1"/>
        <rFont val="Times New Roman"/>
        <family val="1"/>
        <charset val="204"/>
      </rPr>
      <t>a</t>
    </r>
  </si>
  <si>
    <r>
      <t>P=(N</t>
    </r>
    <r>
      <rPr>
        <sz val="8"/>
        <color theme="1"/>
        <rFont val="Times New Roman"/>
        <family val="1"/>
        <charset val="204"/>
      </rPr>
      <t>a</t>
    </r>
    <r>
      <rPr>
        <sz val="12"/>
        <color theme="1"/>
        <rFont val="Times New Roman"/>
        <family val="1"/>
        <charset val="204"/>
      </rPr>
      <t>/n</t>
    </r>
    <r>
      <rPr>
        <sz val="8"/>
        <color theme="1"/>
        <rFont val="Times New Roman"/>
        <family val="1"/>
        <charset val="204"/>
      </rPr>
      <t>a</t>
    </r>
    <r>
      <rPr>
        <sz val="12"/>
        <color theme="1"/>
        <rFont val="Times New Roman"/>
        <family val="1"/>
        <charset val="204"/>
      </rPr>
      <t>)*100</t>
    </r>
  </si>
  <si>
    <t>-</t>
  </si>
  <si>
    <r>
      <t>E(P)=   1, если P</t>
    </r>
    <r>
      <rPr>
        <sz val="12"/>
        <color theme="1"/>
        <rFont val="Calibri"/>
        <family val="2"/>
        <charset val="204"/>
      </rPr>
      <t>≥97%</t>
    </r>
    <r>
      <rPr>
        <sz val="12"/>
        <color theme="1"/>
        <rFont val="Times New Roman"/>
        <family val="1"/>
        <charset val="204"/>
      </rPr>
      <t xml:space="preserve"> и 0, если Р≤97%</t>
    </r>
  </si>
  <si>
    <t>ГРБС не получающие МТ из краевого и федерального бюджетов получают максимальное количество баллов, т.к. отсутствуют основания для снижения общего количества баллов.</t>
  </si>
  <si>
    <t>2.2. Качество администрирования доходов районного бюджета по возврату неиспользованных остатков межбюджетных трансфертов, имеющих целевое назначение в 2020 году</t>
  </si>
  <si>
    <t>Объем поступлений по возврату целевых остатков прошлых лет в краевой бюджет</t>
  </si>
  <si>
    <t>Объем поступлений</t>
  </si>
  <si>
    <t>Rp1</t>
  </si>
  <si>
    <t>Rj1</t>
  </si>
  <si>
    <t>P=(Rj1/Rp1)*100</t>
  </si>
  <si>
    <r>
      <t>E(P)=   1, если P</t>
    </r>
    <r>
      <rPr>
        <sz val="12"/>
        <color theme="1"/>
        <rFont val="Calibri"/>
        <family val="2"/>
        <charset val="204"/>
      </rPr>
      <t>≥100%</t>
    </r>
    <r>
      <rPr>
        <sz val="12"/>
        <color theme="1"/>
        <rFont val="Times New Roman"/>
        <family val="1"/>
        <charset val="204"/>
      </rPr>
      <t xml:space="preserve"> и 0, если Р≤100%</t>
    </r>
  </si>
  <si>
    <t>Отсутствие остатков на 1.01.2021 не влияет на снижение показателя ГРБС.</t>
  </si>
  <si>
    <t>Код адм</t>
  </si>
  <si>
    <t>Код адм.</t>
  </si>
  <si>
    <t>Начальник бюджетного отдела                                                                                                                                                                                                     Р.Б. Волков</t>
  </si>
  <si>
    <t>Начальник бюджетного отдела                                                                                                                                                                                                      Р.Б. Волков</t>
  </si>
  <si>
    <t>Начальник бюджетного отдела                                                                                                                                                                                                             Р.Б. Волков</t>
  </si>
  <si>
    <t>2.1. Качество планирования поступлений налоговых и неналоговых доходов районного бюджета в 2020 году</t>
  </si>
  <si>
    <t>R</t>
  </si>
  <si>
    <t>Rn</t>
  </si>
  <si>
    <t>Объем поступлений налоговых и неналоговых доходов</t>
  </si>
  <si>
    <t>Утвержденное бюджетное назначение по налоговым и неналоговым доходам</t>
  </si>
  <si>
    <t>P=(R/Rn)*100</t>
  </si>
  <si>
    <t>Начальник отдела отраслевого финансирования и доходов бюджета</t>
  </si>
  <si>
    <t>Т.В. Грызунок</t>
  </si>
  <si>
    <r>
      <rPr>
        <b/>
        <sz val="10"/>
        <color theme="1"/>
        <rFont val="Times New Roman"/>
        <family val="1"/>
        <charset val="204"/>
      </rPr>
      <t>E(P)= 1</t>
    </r>
    <r>
      <rPr>
        <sz val="10"/>
        <color theme="1"/>
        <rFont val="Times New Roman"/>
        <family val="1"/>
        <charset val="204"/>
      </rPr>
      <t xml:space="preserve">, если 100≤P≤105 либо R=0 (при этом Rn=0)
</t>
    </r>
    <r>
      <rPr>
        <b/>
        <sz val="10"/>
        <color theme="1"/>
        <rFont val="Times New Roman"/>
        <family val="1"/>
        <charset val="204"/>
      </rPr>
      <t>E(P)= 0,5</t>
    </r>
    <r>
      <rPr>
        <sz val="10"/>
        <color theme="1"/>
        <rFont val="Times New Roman"/>
        <family val="1"/>
        <charset val="204"/>
      </rPr>
      <t xml:space="preserve">, если 95≤P&lt;100 либо P&gt;105
либо Rn=0 при этом R&gt;0 или R&lt;0 
</t>
    </r>
    <r>
      <rPr>
        <b/>
        <sz val="10"/>
        <color theme="1"/>
        <rFont val="Times New Roman"/>
        <family val="1"/>
        <charset val="204"/>
      </rPr>
      <t>E(P)= 0</t>
    </r>
    <r>
      <rPr>
        <sz val="10"/>
        <color theme="1"/>
        <rFont val="Times New Roman"/>
        <family val="1"/>
        <charset val="204"/>
      </rPr>
      <t>, если P&lt;95</t>
    </r>
  </si>
  <si>
    <t>Оценка показателя
E (P)</t>
  </si>
  <si>
    <t>1.8. Эффективность управления кредиторской задолженностью по расчетам с поставщиками и подрядчиками</t>
  </si>
  <si>
    <t xml:space="preserve">Кредиторская задолженность </t>
  </si>
  <si>
    <t>фактический объем расходов</t>
  </si>
  <si>
    <t>K</t>
  </si>
  <si>
    <t>Ek</t>
  </si>
  <si>
    <t>P=(K/Ek)*100, %</t>
  </si>
  <si>
    <t>Начальник отдела учета и отчетности                                                                    Е.А.Кучерявых</t>
  </si>
  <si>
    <t>1-(P/100) ͣ, если Р≤1,5% 0, если P&gt;1,5%</t>
  </si>
  <si>
    <t>1.9. Наличие просроченной кредиторской задолженности по расходам в 2020 году</t>
  </si>
  <si>
    <t>Объем просроченной кредиторской задолженности</t>
  </si>
  <si>
    <t>E(P)=   1, если P=0 и 0, если Р&gt;0</t>
  </si>
  <si>
    <t>Вес показателя - 10</t>
  </si>
  <si>
    <t>Начальник  отдела учета и отчетности                                                                                                                       Е.А. Кучерявых</t>
  </si>
  <si>
    <t>2.3  Качество управления просроченной дебиторской задолженностью районного бюджета в 2020 году</t>
  </si>
  <si>
    <t>Просрочееная дебиторская задолженность</t>
  </si>
  <si>
    <t>на начало периода</t>
  </si>
  <si>
    <t>на конец периода</t>
  </si>
  <si>
    <r>
      <t>Dp</t>
    </r>
    <r>
      <rPr>
        <sz val="8"/>
        <color theme="1"/>
        <rFont val="Times New Roman"/>
        <family val="1"/>
        <charset val="204"/>
      </rPr>
      <t>1</t>
    </r>
  </si>
  <si>
    <r>
      <t>Dp</t>
    </r>
    <r>
      <rPr>
        <sz val="8"/>
        <color theme="1"/>
        <rFont val="Times New Roman"/>
        <family val="1"/>
        <charset val="204"/>
      </rPr>
      <t>0</t>
    </r>
  </si>
  <si>
    <t>Начальник  отдела учета и отчетности                                                                                                                                                                          Е.А.Кучерявых</t>
  </si>
  <si>
    <r>
      <t>1, если Р</t>
    </r>
    <r>
      <rPr>
        <sz val="12"/>
        <color theme="1"/>
        <rFont val="Calibri"/>
        <family val="2"/>
        <charset val="204"/>
      </rPr>
      <t>≥</t>
    </r>
    <r>
      <rPr>
        <sz val="13.2"/>
        <color theme="1"/>
        <rFont val="Times New Roman"/>
        <family val="1"/>
        <charset val="204"/>
      </rPr>
      <t>99%</t>
    </r>
    <r>
      <rPr>
        <sz val="12"/>
        <color theme="1"/>
        <rFont val="Times New Roman"/>
        <family val="1"/>
        <charset val="204"/>
      </rPr>
      <t xml:space="preserve">   0, если Р</t>
    </r>
    <r>
      <rPr>
        <sz val="12"/>
        <color theme="1"/>
        <rFont val="Calibri"/>
        <family val="2"/>
        <charset val="204"/>
      </rPr>
      <t>&lt;</t>
    </r>
    <r>
      <rPr>
        <sz val="13.2"/>
        <color theme="1"/>
        <rFont val="Times New Roman"/>
        <family val="1"/>
        <charset val="204"/>
      </rPr>
      <t>99%</t>
    </r>
  </si>
  <si>
    <t xml:space="preserve">3.1  Степень достоверности бюджетной отчетности </t>
  </si>
  <si>
    <t>Sp</t>
  </si>
  <si>
    <t>Eb</t>
  </si>
  <si>
    <t>P=Sp/Eb</t>
  </si>
  <si>
    <t>Оценка показателя   E (P)    0, если Sp ≥ St или P ≥0,1?      Если Sp&lt;St и P&lt;0,1, то по формуле (1-(P/0,1) * (1-(Sp/St))   St = 500  тыс.руб.</t>
  </si>
  <si>
    <t xml:space="preserve">3.2  Нарушение требований к бюджетному учету, в том числе к составлению, представлению бюджетной отчетности </t>
  </si>
  <si>
    <t>Наличие фактов нарушений требований к бюджетному учету</t>
  </si>
  <si>
    <t>Q ot</t>
  </si>
  <si>
    <t>P=Qot</t>
  </si>
  <si>
    <t>Оценка показателя   E (P)    0, если нарушения выявлены, 1, если нарушений не выявлено</t>
  </si>
  <si>
    <t>Объем изменений СБР</t>
  </si>
  <si>
    <t>Общий объем БА</t>
  </si>
  <si>
    <r>
      <t>S</t>
    </r>
    <r>
      <rPr>
        <sz val="8"/>
        <color theme="1"/>
        <rFont val="Times New Roman"/>
        <family val="1"/>
        <charset val="204"/>
      </rPr>
      <t>1</t>
    </r>
  </si>
  <si>
    <t>b</t>
  </si>
  <si>
    <r>
      <t>P=S</t>
    </r>
    <r>
      <rPr>
        <sz val="8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/b*100</t>
    </r>
  </si>
  <si>
    <r>
      <t>E(P)=1-(P/100), если Р≤15% и 0, если P</t>
    </r>
    <r>
      <rPr>
        <sz val="12"/>
        <color theme="1"/>
        <rFont val="Calibri"/>
        <family val="2"/>
        <charset val="204"/>
      </rPr>
      <t>&gt;15%</t>
    </r>
  </si>
  <si>
    <t>1.1 Качество планирования расходов в 2020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</si>
  <si>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</si>
  <si>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</si>
  <si>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</si>
  <si>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</si>
  <si>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</si>
  <si>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</si>
  <si>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</si>
  <si>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</si>
  <si>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</si>
  <si>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</si>
  <si>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</si>
  <si>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r>
      <t>P=((</t>
    </r>
    <r>
      <rPr>
        <sz val="12"/>
        <color theme="1"/>
        <rFont val="Calibri"/>
        <family val="2"/>
        <charset val="204"/>
      </rPr>
      <t>∑</t>
    </r>
    <r>
      <rPr>
        <sz val="12"/>
        <color theme="1"/>
        <rFont val="Times New Roman"/>
        <family val="1"/>
        <charset val="204"/>
      </rPr>
      <t>mj)/12)*100</t>
    </r>
  </si>
  <si>
    <r>
      <t>E(P)=P/100,  если 97%</t>
    </r>
    <r>
      <rPr>
        <sz val="12"/>
        <color theme="1"/>
        <rFont val="Calibri"/>
        <family val="2"/>
        <charset val="204"/>
      </rPr>
      <t>&gt;</t>
    </r>
    <r>
      <rPr>
        <sz val="12"/>
        <color theme="1"/>
        <rFont val="Times New Roman"/>
        <family val="1"/>
        <charset val="204"/>
      </rPr>
      <t>Р</t>
    </r>
    <r>
      <rPr>
        <sz val="12"/>
        <color theme="1"/>
        <rFont val="Calibri"/>
        <family val="2"/>
        <charset val="204"/>
      </rPr>
      <t>&gt;</t>
    </r>
    <r>
      <rPr>
        <sz val="12"/>
        <color theme="1"/>
        <rFont val="Times New Roman"/>
        <family val="1"/>
        <charset val="204"/>
      </rPr>
      <t xml:space="preserve">75%,   1, если              P </t>
    </r>
    <r>
      <rPr>
        <sz val="12"/>
        <color theme="1"/>
        <rFont val="Calibri"/>
        <family val="2"/>
        <charset val="204"/>
      </rPr>
      <t xml:space="preserve">≥ </t>
    </r>
    <r>
      <rPr>
        <sz val="12"/>
        <color theme="1"/>
        <rFont val="Times New Roman"/>
        <family val="1"/>
        <charset val="204"/>
      </rPr>
      <t>97% и 0, если P</t>
    </r>
    <r>
      <rPr>
        <sz val="12"/>
        <color theme="1"/>
        <rFont val="Calibri"/>
        <family val="2"/>
        <charset val="204"/>
      </rPr>
      <t>≤75%</t>
    </r>
  </si>
  <si>
    <t>Наименование ГРБС</t>
  </si>
  <si>
    <t>Итоговое количество баллов</t>
  </si>
  <si>
    <t>Значение показателей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</si>
  <si>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</si>
  <si>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</si>
  <si>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</si>
  <si>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</si>
  <si>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</si>
  <si>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</si>
  <si>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</si>
  <si>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</si>
  <si>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</si>
  <si>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</si>
  <si>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</si>
  <si>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</si>
  <si>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</si>
  <si>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3.1.</t>
  </si>
  <si>
    <t>3.2.</t>
  </si>
  <si>
    <t>4.</t>
  </si>
  <si>
    <t>5.</t>
  </si>
  <si>
    <t>РЕЙТИНГ</t>
  </si>
  <si>
    <t>Примечение: Отсутствие информации для размещения не может повлиять на снижение показателя</t>
  </si>
  <si>
    <t>Средний показатель</t>
  </si>
  <si>
    <t>ОКТЯБРЬ</t>
  </si>
  <si>
    <r>
      <t>E(P)= 0, если P</t>
    </r>
    <r>
      <rPr>
        <sz val="12"/>
        <color theme="1"/>
        <rFont val="Calibri"/>
        <family val="2"/>
        <charset val="204"/>
      </rPr>
      <t xml:space="preserve">≥ 0 </t>
    </r>
    <r>
      <rPr>
        <sz val="12"/>
        <color theme="1"/>
        <rFont val="Times New Roman"/>
        <family val="1"/>
        <charset val="204"/>
      </rPr>
      <t>и -2P, если -0,5&lt;Р&lt;0, 1, если P&lt;-0,5</t>
    </r>
  </si>
  <si>
    <t xml:space="preserve">5  Управление активами (имуществом) </t>
  </si>
  <si>
    <t>Сумма недостач, выявленных главным администратором и подведомственными ему получателями бюджетных средств при инвентаризации имущества в целях составления годовой бюджетной отчетности</t>
  </si>
  <si>
    <t>Qot</t>
  </si>
  <si>
    <t>Оценка показателя   E (P) =  0, если нарушения выявлены,  E (P) = 1, если нарушений не выявлено</t>
  </si>
  <si>
    <t xml:space="preserve">                                                                                                                                                                                                                  1.2. Качество исполнения кассового плана в 2020 году</t>
  </si>
  <si>
    <t xml:space="preserve">                                                                                                                                                     Объем расходов 2020 года</t>
  </si>
  <si>
    <t>Начальник бюджетного отдела                                                                                                                                                                                                                             Р.Б. Волков</t>
  </si>
  <si>
    <t>P=(Dp1-Dp0)/Dp0, если Dp1=Dp0=0, то Р=-1</t>
  </si>
  <si>
    <t>Сумма искажений показателей бюджетной отчетности, тыс. руб.</t>
  </si>
  <si>
    <t>Суммарное значение показателей бюджетной отчетности, по которым выявлены искажения, тыс.руб.</t>
  </si>
  <si>
    <t>ИТОГО</t>
  </si>
  <si>
    <t>1.5 Несоответствие расчетно-платежных документов, представленных в финансовое управление, требованиям бюджетного законодательства Российской Федерации за 2020 год</t>
  </si>
  <si>
    <t>Начальник финансового управления                                                                                                                                                 Н.А. Опара</t>
  </si>
  <si>
    <t xml:space="preserve">ОТЧЕТ </t>
  </si>
  <si>
    <t>о результатах мониторинга качества финансового менеджмента главных распоредителей средств бюджета муниципального образования Темрюкский район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</si>
</sst>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"/>
    <numFmt numFmtId="166" formatCode="#,##0.0;[Red]\-#,##0.0;0.0"/>
    <numFmt numFmtId="167" formatCode="#,##0.00_ ;[Red]\-#,##0.00\ "/>
    <numFmt numFmtId="168" formatCode="#,##0.00;[Red]\-#,##0.00;0.00"/>
    <numFmt numFmtId="169" formatCode="0.0"/>
    <numFmt numFmtId="170" formatCode="#,##0.000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</font>
    <font>
      <sz val="13.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2" borderId="0" xfId="0" applyFont="1" applyFill="1"/>
    <xf numFmtId="49" fontId="1" fillId="2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2" borderId="1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2" borderId="18" xfId="0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wrapText="1"/>
    </xf>
    <xf numFmtId="0" fontId="2" fillId="0" borderId="0" xfId="0" applyFont="1"/>
    <xf numFmtId="2" fontId="1" fillId="2" borderId="0" xfId="0" applyNumberFormat="1" applyFont="1" applyFill="1"/>
    <xf numFmtId="3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0" borderId="0" xfId="0" applyNumberFormat="1" applyFont="1" applyFill="1"/>
    <xf numFmtId="3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45" xfId="0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/>
    <xf numFmtId="4" fontId="1" fillId="2" borderId="26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5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left" wrapText="1"/>
    </xf>
    <xf numFmtId="0" fontId="8" fillId="5" borderId="22" xfId="0" applyFont="1" applyFill="1" applyBorder="1" applyAlignment="1">
      <alignment wrapText="1"/>
    </xf>
    <xf numFmtId="3" fontId="8" fillId="5" borderId="6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9" fillId="5" borderId="9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left"/>
    </xf>
    <xf numFmtId="0" fontId="8" fillId="5" borderId="57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1" fillId="5" borderId="39" xfId="0" applyFont="1" applyFill="1" applyBorder="1"/>
    <xf numFmtId="0" fontId="1" fillId="5" borderId="0" xfId="0" applyFont="1" applyFill="1" applyBorder="1"/>
    <xf numFmtId="0" fontId="1" fillId="5" borderId="17" xfId="0" applyFont="1" applyFill="1" applyBorder="1"/>
    <xf numFmtId="0" fontId="1" fillId="5" borderId="33" xfId="0" applyFont="1" applyFill="1" applyBorder="1"/>
    <xf numFmtId="0" fontId="1" fillId="5" borderId="58" xfId="0" applyFont="1" applyFill="1" applyBorder="1"/>
    <xf numFmtId="0" fontId="10" fillId="5" borderId="16" xfId="0" applyFont="1" applyFill="1" applyBorder="1" applyAlignment="1">
      <alignment horizontal="left" vertical="top" wrapText="1"/>
    </xf>
    <xf numFmtId="4" fontId="2" fillId="5" borderId="2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/>
    <xf numFmtId="4" fontId="6" fillId="0" borderId="48" xfId="0" applyNumberFormat="1" applyFont="1" applyFill="1" applyBorder="1" applyAlignment="1" applyProtection="1">
      <alignment horizontal="right"/>
      <protection hidden="1"/>
    </xf>
    <xf numFmtId="4" fontId="6" fillId="0" borderId="26" xfId="0" applyNumberFormat="1" applyFont="1" applyFill="1" applyBorder="1" applyAlignment="1" applyProtection="1">
      <alignment horizontal="right"/>
      <protection hidden="1"/>
    </xf>
    <xf numFmtId="4" fontId="6" fillId="0" borderId="47" xfId="0" applyNumberFormat="1" applyFont="1" applyFill="1" applyBorder="1" applyAlignment="1" applyProtection="1">
      <alignment horizontal="right"/>
      <protection hidden="1"/>
    </xf>
    <xf numFmtId="4" fontId="6" fillId="0" borderId="1" xfId="0" applyNumberFormat="1" applyFont="1" applyFill="1" applyBorder="1" applyAlignment="1" applyProtection="1">
      <alignment horizontal="right"/>
      <protection hidden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>
      <alignment horizontal="right" vertical="center"/>
    </xf>
    <xf numFmtId="4" fontId="6" fillId="0" borderId="50" xfId="0" applyNumberFormat="1" applyFont="1" applyFill="1" applyBorder="1" applyAlignment="1" applyProtection="1">
      <alignment horizontal="right"/>
      <protection hidden="1"/>
    </xf>
    <xf numFmtId="4" fontId="2" fillId="0" borderId="19" xfId="0" applyNumberFormat="1" applyFont="1" applyFill="1" applyBorder="1" applyAlignment="1">
      <alignment horizontal="right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5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wrapText="1"/>
    </xf>
    <xf numFmtId="3" fontId="1" fillId="2" borderId="26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1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6" fontId="6" fillId="0" borderId="7" xfId="0" applyNumberFormat="1" applyFont="1" applyFill="1" applyBorder="1" applyAlignment="1" applyProtection="1">
      <protection hidden="1"/>
    </xf>
    <xf numFmtId="166" fontId="6" fillId="0" borderId="8" xfId="0" applyNumberFormat="1" applyFont="1" applyFill="1" applyBorder="1" applyAlignment="1" applyProtection="1">
      <protection hidden="1"/>
    </xf>
    <xf numFmtId="166" fontId="6" fillId="0" borderId="1" xfId="0" applyNumberFormat="1" applyFont="1" applyFill="1" applyBorder="1" applyAlignment="1" applyProtection="1">
      <protection hidden="1"/>
    </xf>
    <xf numFmtId="166" fontId="6" fillId="0" borderId="3" xfId="0" applyNumberFormat="1" applyFont="1" applyFill="1" applyBorder="1" applyAlignment="1" applyProtection="1">
      <protection hidden="1"/>
    </xf>
    <xf numFmtId="166" fontId="6" fillId="0" borderId="9" xfId="0" applyNumberFormat="1" applyFont="1" applyFill="1" applyBorder="1" applyAlignment="1" applyProtection="1">
      <protection hidden="1"/>
    </xf>
    <xf numFmtId="166" fontId="6" fillId="0" borderId="5" xfId="0" applyNumberFormat="1" applyFont="1" applyFill="1" applyBorder="1" applyAlignment="1" applyProtection="1">
      <protection hidden="1"/>
    </xf>
    <xf numFmtId="166" fontId="2" fillId="2" borderId="9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7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1" fillId="2" borderId="10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56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66" fontId="6" fillId="0" borderId="26" xfId="0" applyNumberFormat="1" applyFont="1" applyFill="1" applyBorder="1" applyAlignment="1" applyProtection="1">
      <protection hidden="1"/>
    </xf>
    <xf numFmtId="0" fontId="1" fillId="2" borderId="1" xfId="0" applyFont="1" applyFill="1" applyBorder="1" applyAlignment="1">
      <alignment horizontal="center" vertical="top" wrapText="1"/>
    </xf>
    <xf numFmtId="4" fontId="8" fillId="5" borderId="2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/>
    </xf>
    <xf numFmtId="168" fontId="6" fillId="0" borderId="7" xfId="0" applyNumberFormat="1" applyFont="1" applyFill="1" applyBorder="1" applyAlignment="1" applyProtection="1">
      <protection hidden="1"/>
    </xf>
    <xf numFmtId="168" fontId="6" fillId="0" borderId="1" xfId="0" applyNumberFormat="1" applyFont="1" applyFill="1" applyBorder="1" applyAlignment="1" applyProtection="1">
      <protection hidden="1"/>
    </xf>
    <xf numFmtId="168" fontId="6" fillId="0" borderId="9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3" xfId="0" applyNumberFormat="1" applyFont="1" applyFill="1" applyBorder="1" applyAlignment="1" applyProtection="1">
      <protection hidden="1"/>
    </xf>
    <xf numFmtId="168" fontId="6" fillId="0" borderId="5" xfId="0" applyNumberFormat="1" applyFont="1" applyFill="1" applyBorder="1" applyAlignment="1" applyProtection="1">
      <protection hidden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1" fillId="2" borderId="5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1" fillId="0" borderId="58" xfId="0" applyFont="1" applyFill="1" applyBorder="1" applyAlignment="1">
      <alignment horizontal="center" vertical="top" wrapText="1"/>
    </xf>
    <xf numFmtId="166" fontId="6" fillId="0" borderId="42" xfId="0" applyNumberFormat="1" applyFont="1" applyFill="1" applyBorder="1" applyAlignment="1" applyProtection="1">
      <protection hidden="1"/>
    </xf>
    <xf numFmtId="0" fontId="1" fillId="2" borderId="5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6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2" borderId="50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left" wrapText="1"/>
    </xf>
    <xf numFmtId="165" fontId="1" fillId="0" borderId="3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169" fontId="2" fillId="0" borderId="22" xfId="0" applyNumberFormat="1" applyFont="1" applyFill="1" applyBorder="1" applyAlignment="1">
      <alignment horizontal="center"/>
    </xf>
    <xf numFmtId="3" fontId="1" fillId="0" borderId="6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66" fontId="6" fillId="0" borderId="51" xfId="0" applyNumberFormat="1" applyFont="1" applyFill="1" applyBorder="1" applyAlignment="1" applyProtection="1">
      <protection hidden="1"/>
    </xf>
    <xf numFmtId="166" fontId="6" fillId="0" borderId="46" xfId="0" applyNumberFormat="1" applyFont="1" applyFill="1" applyBorder="1" applyAlignment="1" applyProtection="1">
      <protection hidden="1"/>
    </xf>
    <xf numFmtId="166" fontId="6" fillId="0" borderId="34" xfId="0" applyNumberFormat="1" applyFont="1" applyFill="1" applyBorder="1" applyAlignment="1" applyProtection="1">
      <protection hidden="1"/>
    </xf>
    <xf numFmtId="166" fontId="6" fillId="0" borderId="27" xfId="0" applyNumberFormat="1" applyFont="1" applyFill="1" applyBorder="1" applyAlignment="1" applyProtection="1">
      <protection hidden="1"/>
    </xf>
    <xf numFmtId="166" fontId="6" fillId="0" borderId="39" xfId="0" applyNumberFormat="1" applyFont="1" applyFill="1" applyBorder="1" applyAlignment="1" applyProtection="1">
      <protection hidden="1"/>
    </xf>
    <xf numFmtId="166" fontId="6" fillId="0" borderId="40" xfId="0" applyNumberFormat="1" applyFont="1" applyFill="1" applyBorder="1" applyAlignment="1" applyProtection="1">
      <protection hidden="1"/>
    </xf>
    <xf numFmtId="49" fontId="1" fillId="2" borderId="42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 applyProtection="1">
      <protection hidden="1"/>
    </xf>
    <xf numFmtId="166" fontId="6" fillId="0" borderId="52" xfId="0" applyNumberFormat="1" applyFont="1" applyFill="1" applyBorder="1" applyAlignment="1" applyProtection="1">
      <protection hidden="1"/>
    </xf>
    <xf numFmtId="166" fontId="6" fillId="0" borderId="53" xfId="0" applyNumberFormat="1" applyFont="1" applyFill="1" applyBorder="1" applyAlignment="1" applyProtection="1">
      <protection hidden="1"/>
    </xf>
    <xf numFmtId="0" fontId="14" fillId="2" borderId="61" xfId="0" applyFont="1" applyFill="1" applyBorder="1" applyAlignment="1">
      <alignment horizontal="left" vertical="top" wrapText="1"/>
    </xf>
    <xf numFmtId="0" fontId="14" fillId="2" borderId="62" xfId="0" applyFont="1" applyFill="1" applyBorder="1" applyAlignment="1">
      <alignment horizontal="left" vertical="top" wrapText="1"/>
    </xf>
    <xf numFmtId="166" fontId="6" fillId="0" borderId="0" xfId="0" applyNumberFormat="1" applyFont="1" applyFill="1" applyBorder="1" applyAlignment="1" applyProtection="1">
      <protection hidden="1"/>
    </xf>
    <xf numFmtId="166" fontId="6" fillId="0" borderId="19" xfId="0" applyNumberFormat="1" applyFont="1" applyFill="1" applyBorder="1" applyAlignment="1" applyProtection="1">
      <protection hidden="1"/>
    </xf>
    <xf numFmtId="164" fontId="1" fillId="0" borderId="52" xfId="0" applyNumberFormat="1" applyFont="1" applyFill="1" applyBorder="1" applyAlignment="1">
      <alignment horizontal="center" vertical="center"/>
    </xf>
    <xf numFmtId="168" fontId="0" fillId="0" borderId="0" xfId="0" applyNumberFormat="1"/>
    <xf numFmtId="165" fontId="1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2" fontId="2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horizontal="center" vertical="center"/>
    </xf>
    <xf numFmtId="166" fontId="2" fillId="2" borderId="50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0" borderId="1" xfId="0" applyFont="1" applyFill="1" applyBorder="1"/>
    <xf numFmtId="166" fontId="2" fillId="2" borderId="50" xfId="0" applyNumberFormat="1" applyFont="1" applyFill="1" applyBorder="1" applyAlignment="1">
      <alignment horizontal="center" vertical="center"/>
    </xf>
    <xf numFmtId="0" fontId="1" fillId="0" borderId="47" xfId="0" applyFont="1" applyFill="1" applyBorder="1"/>
    <xf numFmtId="166" fontId="2" fillId="2" borderId="67" xfId="0" applyNumberFormat="1" applyFont="1" applyFill="1" applyBorder="1" applyAlignment="1">
      <alignment horizontal="right" vertical="center"/>
    </xf>
    <xf numFmtId="166" fontId="2" fillId="2" borderId="65" xfId="0" applyNumberFormat="1" applyFont="1" applyFill="1" applyBorder="1" applyAlignment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horizontal="right" vertical="center"/>
    </xf>
    <xf numFmtId="166" fontId="2" fillId="2" borderId="57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66" fontId="6" fillId="0" borderId="50" xfId="0" applyNumberFormat="1" applyFont="1" applyFill="1" applyBorder="1" applyAlignment="1" applyProtection="1">
      <protection hidden="1"/>
    </xf>
    <xf numFmtId="165" fontId="1" fillId="0" borderId="60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6" fillId="0" borderId="47" xfId="0" applyNumberFormat="1" applyFont="1" applyFill="1" applyBorder="1" applyAlignment="1" applyProtection="1">
      <protection hidden="1"/>
    </xf>
    <xf numFmtId="166" fontId="6" fillId="0" borderId="65" xfId="0" applyNumberFormat="1" applyFont="1" applyFill="1" applyBorder="1" applyAlignment="1" applyProtection="1">
      <protection hidden="1"/>
    </xf>
    <xf numFmtId="0" fontId="1" fillId="0" borderId="39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center"/>
    </xf>
    <xf numFmtId="2" fontId="6" fillId="0" borderId="0" xfId="0" applyNumberFormat="1" applyFont="1"/>
    <xf numFmtId="2" fontId="1" fillId="3" borderId="0" xfId="0" applyNumberFormat="1" applyFont="1" applyFill="1"/>
    <xf numFmtId="2" fontId="21" fillId="3" borderId="0" xfId="0" applyNumberFormat="1" applyFont="1" applyFill="1"/>
    <xf numFmtId="2" fontId="6" fillId="3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/>
    </xf>
    <xf numFmtId="170" fontId="1" fillId="3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9" fontId="2" fillId="2" borderId="12" xfId="0" applyNumberFormat="1" applyFont="1" applyFill="1" applyBorder="1" applyAlignment="1">
      <alignment horizontal="center" vertical="center" wrapText="1"/>
    </xf>
    <xf numFmtId="169" fontId="1" fillId="3" borderId="1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2" fontId="21" fillId="2" borderId="0" xfId="0" applyNumberFormat="1" applyFont="1" applyFill="1"/>
    <xf numFmtId="2" fontId="6" fillId="2" borderId="0" xfId="0" applyNumberFormat="1" applyFont="1" applyFill="1"/>
    <xf numFmtId="0" fontId="1" fillId="3" borderId="54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165" fontId="1" fillId="6" borderId="26" xfId="0" applyNumberFormat="1" applyFont="1" applyFill="1" applyBorder="1" applyAlignment="1">
      <alignment horizontal="center" vertical="center"/>
    </xf>
    <xf numFmtId="4" fontId="1" fillId="6" borderId="26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/>
    </xf>
    <xf numFmtId="165" fontId="1" fillId="7" borderId="26" xfId="0" applyNumberFormat="1" applyFont="1" applyFill="1" applyBorder="1" applyAlignment="1">
      <alignment horizontal="center" vertical="center"/>
    </xf>
    <xf numFmtId="4" fontId="1" fillId="7" borderId="26" xfId="0" applyNumberFormat="1" applyFont="1" applyFill="1" applyBorder="1" applyAlignment="1">
      <alignment horizontal="center" vertical="center"/>
    </xf>
    <xf numFmtId="3" fontId="1" fillId="7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" fillId="2" borderId="0" xfId="0" applyFont="1" applyFill="1" applyBorder="1" applyAlignment="1"/>
    <xf numFmtId="0" fontId="1" fillId="2" borderId="10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0" xfId="0" applyFont="1" applyFill="1" applyAlignment="1"/>
    <xf numFmtId="0" fontId="2" fillId="2" borderId="35" xfId="0" applyFont="1" applyFill="1" applyBorder="1" applyAlignment="1">
      <alignment horizontal="left" wrapText="1"/>
    </xf>
    <xf numFmtId="0" fontId="2" fillId="2" borderId="66" xfId="0" applyFont="1" applyFill="1" applyBorder="1" applyAlignment="1">
      <alignment horizontal="left" wrapText="1"/>
    </xf>
    <xf numFmtId="0" fontId="2" fillId="2" borderId="52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2" fillId="2" borderId="6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2" borderId="59" xfId="0" applyFont="1" applyFill="1" applyBorder="1" applyAlignment="1">
      <alignment horizontal="left" vertical="top" wrapText="1"/>
    </xf>
    <xf numFmtId="0" fontId="1" fillId="2" borderId="5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" fillId="2" borderId="38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left" wrapText="1"/>
    </xf>
    <xf numFmtId="0" fontId="2" fillId="2" borderId="69" xfId="0" applyFont="1" applyFill="1" applyBorder="1" applyAlignment="1">
      <alignment horizontal="left" wrapText="1"/>
    </xf>
    <xf numFmtId="0" fontId="2" fillId="2" borderId="67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4" fontId="1" fillId="0" borderId="0" xfId="0" applyNumberFormat="1" applyFont="1" applyFill="1" applyAlignment="1"/>
    <xf numFmtId="0" fontId="0" fillId="0" borderId="0" xfId="0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8" fillId="5" borderId="12" xfId="0" applyFont="1" applyFill="1" applyBorder="1" applyAlignment="1">
      <alignment wrapText="1"/>
    </xf>
    <xf numFmtId="0" fontId="8" fillId="5" borderId="19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2" borderId="42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 wrapText="1"/>
    </xf>
    <xf numFmtId="0" fontId="1" fillId="2" borderId="66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horizontal="left" wrapText="1"/>
    </xf>
    <xf numFmtId="0" fontId="0" fillId="0" borderId="44" xfId="0" applyBorder="1" applyAlignment="1">
      <alignment horizontal="left" vertical="top" wrapText="1"/>
    </xf>
    <xf numFmtId="0" fontId="1" fillId="2" borderId="5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7" fillId="0" borderId="0" xfId="0" applyFont="1" applyFill="1" applyAlignment="1"/>
    <xf numFmtId="0" fontId="1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2" borderId="70" xfId="0" applyFont="1" applyFill="1" applyBorder="1" applyAlignment="1">
      <alignment horizontal="left" wrapText="1"/>
    </xf>
    <xf numFmtId="49" fontId="1" fillId="3" borderId="47" xfId="0" applyNumberFormat="1" applyFont="1" applyFill="1" applyBorder="1" applyAlignment="1">
      <alignment horizontal="left"/>
    </xf>
    <xf numFmtId="49" fontId="1" fillId="3" borderId="66" xfId="0" applyNumberFormat="1" applyFont="1" applyFill="1" applyBorder="1" applyAlignment="1">
      <alignment horizontal="left"/>
    </xf>
    <xf numFmtId="49" fontId="1" fillId="3" borderId="52" xfId="0" applyNumberFormat="1" applyFont="1" applyFill="1" applyBorder="1" applyAlignment="1">
      <alignment horizontal="left"/>
    </xf>
    <xf numFmtId="0" fontId="2" fillId="0" borderId="58" xfId="0" applyFont="1" applyBorder="1" applyAlignment="1">
      <alignment horizontal="center" vertical="center" wrapText="1"/>
    </xf>
    <xf numFmtId="0" fontId="21" fillId="0" borderId="0" xfId="0" applyFont="1"/>
    <xf numFmtId="0" fontId="1" fillId="3" borderId="1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view="pageBreakPreview" topLeftCell="A13" zoomScaleNormal="100" zoomScaleSheetLayoutView="100" workbookViewId="0">
      <selection activeCell="G14" sqref="G14"/>
    </sheetView>
  </sheetViews>
  <sheetFormatPr defaultRowHeight="15" x14ac:dyDescent="0.25"/>
  <cols>
    <col min="1" max="1" width="4.28515625" customWidth="1"/>
    <col min="2" max="2" width="6.7109375" customWidth="1"/>
    <col min="3" max="3" width="13.28515625" customWidth="1"/>
    <col min="4" max="4" width="32.28515625" customWidth="1"/>
    <col min="5" max="5" width="17.5703125" customWidth="1"/>
    <col min="6" max="6" width="19.42578125" customWidth="1"/>
    <col min="7" max="7" width="16.42578125" customWidth="1"/>
    <col min="8" max="8" width="27.5703125" customWidth="1"/>
    <col min="9" max="9" width="14" customWidth="1"/>
  </cols>
  <sheetData>
    <row r="2" spans="1:9" x14ac:dyDescent="0.25">
      <c r="A2" s="379" t="s">
        <v>168</v>
      </c>
      <c r="B2" s="380"/>
      <c r="C2" s="380"/>
      <c r="D2" s="380"/>
      <c r="E2" s="380"/>
      <c r="F2" s="380"/>
      <c r="G2" s="380"/>
      <c r="H2" s="380"/>
      <c r="I2" s="380"/>
    </row>
    <row r="3" spans="1:9" ht="16.149999999999999" thickBot="1" x14ac:dyDescent="0.35">
      <c r="A3" s="24"/>
      <c r="B3" s="24"/>
      <c r="C3" s="24"/>
      <c r="D3" s="248"/>
      <c r="E3" s="381"/>
      <c r="F3" s="381"/>
      <c r="G3" s="17"/>
      <c r="H3" s="17"/>
      <c r="I3" s="17"/>
    </row>
    <row r="4" spans="1:9" ht="32.25" thickBot="1" x14ac:dyDescent="0.3">
      <c r="A4" s="167" t="s">
        <v>1</v>
      </c>
      <c r="B4" s="249" t="s">
        <v>116</v>
      </c>
      <c r="C4" s="249" t="s">
        <v>2</v>
      </c>
      <c r="D4" s="249" t="s">
        <v>3</v>
      </c>
      <c r="E4" s="382" t="s">
        <v>98</v>
      </c>
      <c r="F4" s="382"/>
      <c r="G4" s="168"/>
      <c r="H4" s="168"/>
      <c r="I4" s="383" t="s">
        <v>142</v>
      </c>
    </row>
    <row r="5" spans="1:9" ht="31.9" customHeight="1" thickBot="1" x14ac:dyDescent="0.3">
      <c r="A5" s="169"/>
      <c r="B5" s="170"/>
      <c r="C5" s="170"/>
      <c r="D5" s="170"/>
      <c r="E5" s="170" t="s">
        <v>162</v>
      </c>
      <c r="F5" s="171" t="s">
        <v>163</v>
      </c>
      <c r="G5" s="172" t="s">
        <v>80</v>
      </c>
      <c r="H5" s="173" t="s">
        <v>73</v>
      </c>
      <c r="I5" s="384"/>
    </row>
    <row r="6" spans="1:9" ht="33" customHeight="1" thickBot="1" x14ac:dyDescent="0.3">
      <c r="A6" s="174"/>
      <c r="B6" s="175"/>
      <c r="C6" s="175"/>
      <c r="D6" s="175"/>
      <c r="E6" s="175" t="s">
        <v>164</v>
      </c>
      <c r="F6" s="176" t="s">
        <v>165</v>
      </c>
      <c r="G6" s="177" t="s">
        <v>166</v>
      </c>
      <c r="H6" s="178" t="s">
        <v>167</v>
      </c>
      <c r="I6" s="385"/>
    </row>
    <row r="7" spans="1:9" ht="31.15" customHeight="1" thickBot="1" x14ac:dyDescent="0.3">
      <c r="A7" s="190" t="s">
        <v>9</v>
      </c>
      <c r="B7" s="191" t="s">
        <v>10</v>
      </c>
      <c r="C7" s="191" t="s">
        <v>11</v>
      </c>
      <c r="D7" s="196" t="s">
        <v>12</v>
      </c>
      <c r="E7" s="179">
        <v>1000</v>
      </c>
      <c r="F7" s="180">
        <v>5057600</v>
      </c>
      <c r="G7" s="187">
        <f>(E7/F7*100)</f>
        <v>1.9772223979753242E-2</v>
      </c>
      <c r="H7" s="152">
        <f>1-(G7/100)</f>
        <v>0.99980227776020247</v>
      </c>
      <c r="I7" s="7">
        <f>H7*10</f>
        <v>9.9980227776020243</v>
      </c>
    </row>
    <row r="8" spans="1:9" ht="26.25" thickBot="1" x14ac:dyDescent="0.3">
      <c r="A8" s="192" t="s">
        <v>16</v>
      </c>
      <c r="B8" s="193" t="s">
        <v>13</v>
      </c>
      <c r="C8" s="193" t="s">
        <v>14</v>
      </c>
      <c r="D8" s="197" t="s">
        <v>15</v>
      </c>
      <c r="E8" s="181">
        <v>28218200</v>
      </c>
      <c r="F8" s="182">
        <v>656169300</v>
      </c>
      <c r="G8" s="187">
        <f t="shared" ref="G8:G18" si="0">(E8/F8*100)</f>
        <v>4.3004450223440811</v>
      </c>
      <c r="H8" s="152">
        <f t="shared" ref="H8:H18" si="1">1-(G8/100)</f>
        <v>0.95699554977655921</v>
      </c>
      <c r="I8" s="7">
        <f t="shared" ref="I8:I18" si="2">H8*10</f>
        <v>9.5699554977655925</v>
      </c>
    </row>
    <row r="9" spans="1:9" ht="16.5" thickBot="1" x14ac:dyDescent="0.3">
      <c r="A9" s="192" t="s">
        <v>17</v>
      </c>
      <c r="B9" s="193" t="s">
        <v>23</v>
      </c>
      <c r="C9" s="193" t="s">
        <v>24</v>
      </c>
      <c r="D9" s="197" t="s">
        <v>25</v>
      </c>
      <c r="E9" s="181">
        <v>16045</v>
      </c>
      <c r="F9" s="182">
        <v>23564000</v>
      </c>
      <c r="G9" s="187">
        <f t="shared" si="0"/>
        <v>6.8091156000678998E-2</v>
      </c>
      <c r="H9" s="152">
        <f t="shared" si="1"/>
        <v>0.99931908843999318</v>
      </c>
      <c r="I9" s="7">
        <f t="shared" si="2"/>
        <v>9.9931908843999313</v>
      </c>
    </row>
    <row r="10" spans="1:9" ht="30" customHeight="1" thickBot="1" x14ac:dyDescent="0.3">
      <c r="A10" s="192" t="s">
        <v>18</v>
      </c>
      <c r="B10" s="193" t="s">
        <v>26</v>
      </c>
      <c r="C10" s="193" t="s">
        <v>27</v>
      </c>
      <c r="D10" s="197" t="s">
        <v>28</v>
      </c>
      <c r="E10" s="181"/>
      <c r="F10" s="182">
        <v>3151700</v>
      </c>
      <c r="G10" s="187">
        <f t="shared" si="0"/>
        <v>0</v>
      </c>
      <c r="H10" s="152">
        <f t="shared" si="1"/>
        <v>1</v>
      </c>
      <c r="I10" s="7">
        <f t="shared" si="2"/>
        <v>10</v>
      </c>
    </row>
    <row r="11" spans="1:9" ht="40.15" customHeight="1" thickBot="1" x14ac:dyDescent="0.3">
      <c r="A11" s="192" t="s">
        <v>19</v>
      </c>
      <c r="B11" s="193" t="s">
        <v>29</v>
      </c>
      <c r="C11" s="193" t="s">
        <v>30</v>
      </c>
      <c r="D11" s="197" t="s">
        <v>31</v>
      </c>
      <c r="E11" s="181">
        <v>100</v>
      </c>
      <c r="F11" s="182">
        <v>6037700</v>
      </c>
      <c r="G11" s="187">
        <f t="shared" si="0"/>
        <v>1.6562598340427645E-3</v>
      </c>
      <c r="H11" s="152">
        <f t="shared" si="1"/>
        <v>0.99998343740165963</v>
      </c>
      <c r="I11" s="7">
        <f t="shared" si="2"/>
        <v>9.9998343740165971</v>
      </c>
    </row>
    <row r="12" spans="1:9" ht="28.15" customHeight="1" thickBot="1" x14ac:dyDescent="0.3">
      <c r="A12" s="192" t="s">
        <v>20</v>
      </c>
      <c r="B12" s="193" t="s">
        <v>32</v>
      </c>
      <c r="C12" s="193" t="s">
        <v>33</v>
      </c>
      <c r="D12" s="197" t="s">
        <v>34</v>
      </c>
      <c r="E12" s="181"/>
      <c r="F12" s="182">
        <v>4361500</v>
      </c>
      <c r="G12" s="187">
        <f t="shared" si="0"/>
        <v>0</v>
      </c>
      <c r="H12" s="152">
        <f t="shared" si="1"/>
        <v>1</v>
      </c>
      <c r="I12" s="7">
        <f t="shared" si="2"/>
        <v>10</v>
      </c>
    </row>
    <row r="13" spans="1:9" ht="16.5" thickBot="1" x14ac:dyDescent="0.3">
      <c r="A13" s="192" t="s">
        <v>21</v>
      </c>
      <c r="B13" s="193" t="s">
        <v>35</v>
      </c>
      <c r="C13" s="193" t="s">
        <v>36</v>
      </c>
      <c r="D13" s="197" t="s">
        <v>37</v>
      </c>
      <c r="E13" s="181">
        <v>13717400</v>
      </c>
      <c r="F13" s="182">
        <v>169864200</v>
      </c>
      <c r="G13" s="187">
        <f t="shared" si="0"/>
        <v>8.0755097307143</v>
      </c>
      <c r="H13" s="152">
        <f t="shared" si="1"/>
        <v>0.91924490269285697</v>
      </c>
      <c r="I13" s="7">
        <f t="shared" si="2"/>
        <v>9.1924490269285695</v>
      </c>
    </row>
    <row r="14" spans="1:9" ht="16.899999999999999" customHeight="1" thickBot="1" x14ac:dyDescent="0.3">
      <c r="A14" s="192" t="s">
        <v>22</v>
      </c>
      <c r="B14" s="193" t="s">
        <v>41</v>
      </c>
      <c r="C14" s="193" t="s">
        <v>39</v>
      </c>
      <c r="D14" s="197" t="s">
        <v>40</v>
      </c>
      <c r="E14" s="181">
        <v>85925736.209999993</v>
      </c>
      <c r="F14" s="182">
        <v>1677115000</v>
      </c>
      <c r="G14" s="187">
        <f t="shared" si="0"/>
        <v>5.1234254186504797</v>
      </c>
      <c r="H14" s="152">
        <f t="shared" si="1"/>
        <v>0.94876574581349515</v>
      </c>
      <c r="I14" s="7">
        <f t="shared" si="2"/>
        <v>9.4876574581349509</v>
      </c>
    </row>
    <row r="15" spans="1:9" ht="16.5" thickBot="1" x14ac:dyDescent="0.3">
      <c r="A15" s="194">
        <v>9</v>
      </c>
      <c r="B15" s="193" t="s">
        <v>42</v>
      </c>
      <c r="C15" s="193" t="s">
        <v>43</v>
      </c>
      <c r="D15" s="197" t="s">
        <v>44</v>
      </c>
      <c r="E15" s="181">
        <v>13658400</v>
      </c>
      <c r="F15" s="182">
        <v>116054300</v>
      </c>
      <c r="G15" s="187">
        <f t="shared" si="0"/>
        <v>11.768973661467088</v>
      </c>
      <c r="H15" s="152">
        <f t="shared" si="1"/>
        <v>0.88231026338532914</v>
      </c>
      <c r="I15" s="7">
        <f t="shared" si="2"/>
        <v>8.8231026338532921</v>
      </c>
    </row>
    <row r="16" spans="1:9" ht="16.5" thickBot="1" x14ac:dyDescent="0.3">
      <c r="A16" s="194">
        <v>10</v>
      </c>
      <c r="B16" s="193" t="s">
        <v>45</v>
      </c>
      <c r="C16" s="193" t="s">
        <v>46</v>
      </c>
      <c r="D16" s="197" t="s">
        <v>47</v>
      </c>
      <c r="E16" s="181">
        <v>852400</v>
      </c>
      <c r="F16" s="182">
        <v>26542800</v>
      </c>
      <c r="G16" s="187">
        <f t="shared" si="0"/>
        <v>3.21141703211417</v>
      </c>
      <c r="H16" s="152">
        <f t="shared" si="1"/>
        <v>0.96788582967885828</v>
      </c>
      <c r="I16" s="7">
        <f t="shared" si="2"/>
        <v>9.678858296788583</v>
      </c>
    </row>
    <row r="17" spans="1:9" ht="18" customHeight="1" thickBot="1" x14ac:dyDescent="0.3">
      <c r="A17" s="194">
        <v>11</v>
      </c>
      <c r="B17" s="193" t="s">
        <v>48</v>
      </c>
      <c r="C17" s="193" t="s">
        <v>49</v>
      </c>
      <c r="D17" s="197" t="s">
        <v>50</v>
      </c>
      <c r="E17" s="181">
        <v>1447900</v>
      </c>
      <c r="F17" s="182">
        <v>13756500</v>
      </c>
      <c r="G17" s="187">
        <f t="shared" si="0"/>
        <v>10.525206266128739</v>
      </c>
      <c r="H17" s="152">
        <f t="shared" si="1"/>
        <v>0.89474793733871261</v>
      </c>
      <c r="I17" s="7">
        <f t="shared" si="2"/>
        <v>8.9474793733871252</v>
      </c>
    </row>
    <row r="18" spans="1:9" ht="32.450000000000003" customHeight="1" thickBot="1" x14ac:dyDescent="0.3">
      <c r="A18" s="192" t="s">
        <v>38</v>
      </c>
      <c r="B18" s="193" t="s">
        <v>51</v>
      </c>
      <c r="C18" s="193" t="s">
        <v>52</v>
      </c>
      <c r="D18" s="197" t="s">
        <v>53</v>
      </c>
      <c r="E18" s="183">
        <v>309700</v>
      </c>
      <c r="F18" s="184">
        <v>103000800</v>
      </c>
      <c r="G18" s="257">
        <f t="shared" si="0"/>
        <v>0.30067727629299967</v>
      </c>
      <c r="H18" s="258">
        <f t="shared" si="1"/>
        <v>0.99699322723706996</v>
      </c>
      <c r="I18" s="259">
        <f t="shared" si="2"/>
        <v>9.9699322723707002</v>
      </c>
    </row>
    <row r="19" spans="1:9" ht="15.75" x14ac:dyDescent="0.25">
      <c r="A19" s="387" t="s">
        <v>59</v>
      </c>
      <c r="B19" s="388"/>
      <c r="C19" s="388"/>
      <c r="D19" s="389"/>
      <c r="E19" s="307">
        <f>E7+E8+E9+E10+E11+E12+E13+E14+E15+E16+E17+E18</f>
        <v>144146881.20999998</v>
      </c>
      <c r="F19" s="307">
        <f t="shared" ref="F19:I19" si="3">F7+F8+F9+F10+F11+F12+F13+F14+F15+F16+F17+F18</f>
        <v>2804675400</v>
      </c>
      <c r="G19" s="310">
        <f t="shared" si="3"/>
        <v>43.395174047526339</v>
      </c>
      <c r="H19" s="310">
        <f t="shared" si="3"/>
        <v>11.566048259524736</v>
      </c>
      <c r="I19" s="310">
        <f t="shared" si="3"/>
        <v>115.66048259524737</v>
      </c>
    </row>
    <row r="20" spans="1:9" ht="15.75" x14ac:dyDescent="0.25">
      <c r="A20" s="390" t="s">
        <v>204</v>
      </c>
      <c r="B20" s="391"/>
      <c r="C20" s="391"/>
      <c r="D20" s="392"/>
      <c r="E20" s="308"/>
      <c r="F20" s="311"/>
      <c r="G20" s="198">
        <f>G19/12</f>
        <v>3.6162645039605281</v>
      </c>
      <c r="H20" s="198">
        <f t="shared" ref="H20:I20" si="4">H19/12</f>
        <v>0.96383735496039469</v>
      </c>
      <c r="I20" s="198">
        <f t="shared" si="4"/>
        <v>9.6383735496039478</v>
      </c>
    </row>
    <row r="21" spans="1:9" ht="15.6" x14ac:dyDescent="0.3">
      <c r="A21" s="15"/>
      <c r="B21" s="15"/>
      <c r="C21" s="15"/>
      <c r="D21" s="15"/>
      <c r="E21" s="16"/>
      <c r="F21" s="17"/>
      <c r="G21" s="18"/>
      <c r="H21" s="18"/>
      <c r="I21" s="305"/>
    </row>
    <row r="22" spans="1:9" ht="15.6" x14ac:dyDescent="0.3">
      <c r="A22" s="15"/>
      <c r="B22" s="15"/>
      <c r="C22" s="15"/>
      <c r="D22" s="15"/>
      <c r="E22" s="39"/>
      <c r="F22" s="17"/>
      <c r="G22" s="17"/>
      <c r="H22" s="17"/>
      <c r="I22" s="17"/>
    </row>
    <row r="23" spans="1:9" ht="15.75" x14ac:dyDescent="0.25">
      <c r="A23" s="386" t="s">
        <v>119</v>
      </c>
      <c r="B23" s="386"/>
      <c r="C23" s="386"/>
      <c r="D23" s="386"/>
      <c r="E23" s="386"/>
      <c r="F23" s="386"/>
      <c r="G23" s="386"/>
      <c r="H23" s="386"/>
      <c r="I23" s="386"/>
    </row>
    <row r="24" spans="1:9" ht="15.6" x14ac:dyDescent="0.3">
      <c r="A24" s="376"/>
      <c r="B24" s="377"/>
      <c r="C24" s="378"/>
      <c r="D24" s="17"/>
      <c r="E24" s="17"/>
      <c r="F24" s="17"/>
      <c r="G24" s="17"/>
      <c r="H24" s="17"/>
      <c r="I24" s="17"/>
    </row>
  </sheetData>
  <mergeCells count="8">
    <mergeCell ref="A24:C24"/>
    <mergeCell ref="A2:I2"/>
    <mergeCell ref="E3:F3"/>
    <mergeCell ref="E4:F4"/>
    <mergeCell ref="I4:I6"/>
    <mergeCell ref="A23:I23"/>
    <mergeCell ref="A19:D19"/>
    <mergeCell ref="A20:D20"/>
  </mergeCells>
  <pageMargins left="0.7" right="0.7" top="0.75" bottom="0.75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0" zoomScale="110" zoomScaleNormal="110" workbookViewId="0">
      <selection activeCell="H19" sqref="H19"/>
    </sheetView>
  </sheetViews>
  <sheetFormatPr defaultColWidth="9.140625" defaultRowHeight="15.75" x14ac:dyDescent="0.25"/>
  <cols>
    <col min="1" max="1" width="3.85546875" style="24" customWidth="1"/>
    <col min="2" max="2" width="5.28515625" style="24" customWidth="1"/>
    <col min="3" max="3" width="14" style="24" customWidth="1"/>
    <col min="4" max="4" width="62.42578125" style="24" customWidth="1"/>
    <col min="5" max="5" width="19.5703125" style="24" customWidth="1"/>
    <col min="6" max="6" width="16.28515625" style="17" customWidth="1"/>
    <col min="7" max="7" width="21" style="17" customWidth="1"/>
    <col min="8" max="8" width="12.140625" style="17" customWidth="1"/>
    <col min="9" max="16384" width="9.140625" style="24"/>
  </cols>
  <sheetData>
    <row r="1" spans="1:8" ht="48.75" customHeight="1" x14ac:dyDescent="0.25">
      <c r="A1" s="453" t="s">
        <v>85</v>
      </c>
      <c r="B1" s="454"/>
      <c r="C1" s="454"/>
      <c r="D1" s="454"/>
      <c r="E1" s="454"/>
      <c r="F1" s="454"/>
      <c r="G1" s="454"/>
      <c r="H1" s="454"/>
    </row>
    <row r="2" spans="1:8" ht="16.5" thickBot="1" x14ac:dyDescent="0.3">
      <c r="D2" s="139" t="s">
        <v>76</v>
      </c>
      <c r="E2" s="140" t="s">
        <v>0</v>
      </c>
    </row>
    <row r="3" spans="1:8" ht="50.25" customHeight="1" x14ac:dyDescent="0.25">
      <c r="A3" s="77" t="s">
        <v>1</v>
      </c>
      <c r="B3" s="78"/>
      <c r="C3" s="78" t="s">
        <v>2</v>
      </c>
      <c r="D3" s="78" t="s">
        <v>3</v>
      </c>
      <c r="E3" s="448" t="s">
        <v>61</v>
      </c>
      <c r="F3" s="449"/>
      <c r="G3" s="79" t="s">
        <v>64</v>
      </c>
      <c r="H3" s="450" t="s">
        <v>58</v>
      </c>
    </row>
    <row r="4" spans="1:8" ht="50.25" customHeight="1" x14ac:dyDescent="0.25">
      <c r="A4" s="80"/>
      <c r="B4" s="76"/>
      <c r="C4" s="76"/>
      <c r="D4" s="76"/>
      <c r="E4" s="76" t="s">
        <v>62</v>
      </c>
      <c r="F4" s="74" t="s">
        <v>80</v>
      </c>
      <c r="G4" s="74" t="s">
        <v>72</v>
      </c>
      <c r="H4" s="451"/>
    </row>
    <row r="5" spans="1:8" ht="48.75" customHeight="1" thickBot="1" x14ac:dyDescent="0.3">
      <c r="A5" s="159"/>
      <c r="B5" s="160"/>
      <c r="C5" s="160"/>
      <c r="D5" s="160"/>
      <c r="E5" s="160"/>
      <c r="F5" s="161" t="s">
        <v>63</v>
      </c>
      <c r="G5" s="162" t="s">
        <v>65</v>
      </c>
      <c r="H5" s="452"/>
    </row>
    <row r="6" spans="1:8" x14ac:dyDescent="0.25">
      <c r="A6" s="153" t="s">
        <v>9</v>
      </c>
      <c r="B6" s="154" t="s">
        <v>10</v>
      </c>
      <c r="C6" s="154" t="s">
        <v>11</v>
      </c>
      <c r="D6" s="155" t="s">
        <v>12</v>
      </c>
      <c r="E6" s="156">
        <v>0</v>
      </c>
      <c r="F6" s="157">
        <v>0</v>
      </c>
      <c r="G6" s="163">
        <f>IF(F6&lt;10,(1-(F6/10)),0)</f>
        <v>1</v>
      </c>
      <c r="H6" s="158">
        <f>G6*5</f>
        <v>5</v>
      </c>
    </row>
    <row r="7" spans="1:8" x14ac:dyDescent="0.25">
      <c r="A7" s="31" t="s">
        <v>16</v>
      </c>
      <c r="B7" s="32" t="s">
        <v>13</v>
      </c>
      <c r="C7" s="32" t="s">
        <v>14</v>
      </c>
      <c r="D7" s="33" t="s">
        <v>15</v>
      </c>
      <c r="E7" s="1">
        <v>0</v>
      </c>
      <c r="F7" s="81">
        <v>0</v>
      </c>
      <c r="G7" s="152">
        <f t="shared" ref="G7:G17" si="0">IF(F7&lt;10,(1-(F7/10)),0)</f>
        <v>1</v>
      </c>
      <c r="H7" s="11">
        <f t="shared" ref="H7:H17" si="1">G7*5</f>
        <v>5</v>
      </c>
    </row>
    <row r="8" spans="1:8" x14ac:dyDescent="0.25">
      <c r="A8" s="31" t="s">
        <v>17</v>
      </c>
      <c r="B8" s="32" t="s">
        <v>23</v>
      </c>
      <c r="C8" s="32" t="s">
        <v>24</v>
      </c>
      <c r="D8" s="33" t="s">
        <v>25</v>
      </c>
      <c r="E8" s="1">
        <v>0</v>
      </c>
      <c r="F8" s="81">
        <v>0</v>
      </c>
      <c r="G8" s="152">
        <f t="shared" si="0"/>
        <v>1</v>
      </c>
      <c r="H8" s="11">
        <f t="shared" si="1"/>
        <v>5</v>
      </c>
    </row>
    <row r="9" spans="1:8" ht="18.75" customHeight="1" x14ac:dyDescent="0.25">
      <c r="A9" s="31" t="s">
        <v>18</v>
      </c>
      <c r="B9" s="32" t="s">
        <v>26</v>
      </c>
      <c r="C9" s="32" t="s">
        <v>27</v>
      </c>
      <c r="D9" s="33" t="s">
        <v>28</v>
      </c>
      <c r="E9" s="1">
        <v>0</v>
      </c>
      <c r="F9" s="81">
        <v>0</v>
      </c>
      <c r="G9" s="152">
        <f t="shared" si="0"/>
        <v>1</v>
      </c>
      <c r="H9" s="11">
        <f t="shared" si="1"/>
        <v>5</v>
      </c>
    </row>
    <row r="10" spans="1:8" ht="31.5" x14ac:dyDescent="0.25">
      <c r="A10" s="31" t="s">
        <v>19</v>
      </c>
      <c r="B10" s="32" t="s">
        <v>29</v>
      </c>
      <c r="C10" s="32" t="s">
        <v>30</v>
      </c>
      <c r="D10" s="33" t="s">
        <v>31</v>
      </c>
      <c r="E10" s="1">
        <v>0</v>
      </c>
      <c r="F10" s="81">
        <v>0</v>
      </c>
      <c r="G10" s="152">
        <f t="shared" si="0"/>
        <v>1</v>
      </c>
      <c r="H10" s="11">
        <f t="shared" si="1"/>
        <v>5</v>
      </c>
    </row>
    <row r="11" spans="1:8" ht="18" customHeight="1" x14ac:dyDescent="0.25">
      <c r="A11" s="31" t="s">
        <v>20</v>
      </c>
      <c r="B11" s="32" t="s">
        <v>32</v>
      </c>
      <c r="C11" s="32" t="s">
        <v>33</v>
      </c>
      <c r="D11" s="33" t="s">
        <v>34</v>
      </c>
      <c r="E11" s="1">
        <v>0</v>
      </c>
      <c r="F11" s="81">
        <v>0</v>
      </c>
      <c r="G11" s="152">
        <f t="shared" si="0"/>
        <v>1</v>
      </c>
      <c r="H11" s="11">
        <f t="shared" si="1"/>
        <v>5</v>
      </c>
    </row>
    <row r="12" spans="1:8" x14ac:dyDescent="0.25">
      <c r="A12" s="31" t="s">
        <v>21</v>
      </c>
      <c r="B12" s="32" t="s">
        <v>35</v>
      </c>
      <c r="C12" s="32" t="s">
        <v>36</v>
      </c>
      <c r="D12" s="33" t="s">
        <v>37</v>
      </c>
      <c r="E12" s="1">
        <v>0</v>
      </c>
      <c r="F12" s="81">
        <v>0</v>
      </c>
      <c r="G12" s="152">
        <f t="shared" si="0"/>
        <v>1</v>
      </c>
      <c r="H12" s="11">
        <f t="shared" si="1"/>
        <v>5</v>
      </c>
    </row>
    <row r="13" spans="1:8" x14ac:dyDescent="0.25">
      <c r="A13" s="31" t="s">
        <v>22</v>
      </c>
      <c r="B13" s="32" t="s">
        <v>41</v>
      </c>
      <c r="C13" s="32" t="s">
        <v>39</v>
      </c>
      <c r="D13" s="33" t="s">
        <v>40</v>
      </c>
      <c r="E13" s="1">
        <v>0</v>
      </c>
      <c r="F13" s="81">
        <v>0</v>
      </c>
      <c r="G13" s="152">
        <f t="shared" si="0"/>
        <v>1</v>
      </c>
      <c r="H13" s="11">
        <f t="shared" si="1"/>
        <v>5</v>
      </c>
    </row>
    <row r="14" spans="1:8" x14ac:dyDescent="0.25">
      <c r="A14" s="34">
        <v>9</v>
      </c>
      <c r="B14" s="32" t="s">
        <v>42</v>
      </c>
      <c r="C14" s="32" t="s">
        <v>43</v>
      </c>
      <c r="D14" s="33" t="s">
        <v>44</v>
      </c>
      <c r="E14" s="1">
        <v>0</v>
      </c>
      <c r="F14" s="81">
        <v>0</v>
      </c>
      <c r="G14" s="152">
        <f t="shared" si="0"/>
        <v>1</v>
      </c>
      <c r="H14" s="11">
        <f t="shared" si="1"/>
        <v>5</v>
      </c>
    </row>
    <row r="15" spans="1:8" x14ac:dyDescent="0.25">
      <c r="A15" s="34">
        <v>10</v>
      </c>
      <c r="B15" s="32" t="s">
        <v>45</v>
      </c>
      <c r="C15" s="32" t="s">
        <v>46</v>
      </c>
      <c r="D15" s="33" t="s">
        <v>47</v>
      </c>
      <c r="E15" s="1">
        <v>0</v>
      </c>
      <c r="F15" s="81">
        <v>0</v>
      </c>
      <c r="G15" s="152">
        <f t="shared" si="0"/>
        <v>1</v>
      </c>
      <c r="H15" s="11">
        <f t="shared" si="1"/>
        <v>5</v>
      </c>
    </row>
    <row r="16" spans="1:8" x14ac:dyDescent="0.25">
      <c r="A16" s="34">
        <v>11</v>
      </c>
      <c r="B16" s="32" t="s">
        <v>48</v>
      </c>
      <c r="C16" s="32" t="s">
        <v>49</v>
      </c>
      <c r="D16" s="33" t="s">
        <v>50</v>
      </c>
      <c r="E16" s="1">
        <v>0</v>
      </c>
      <c r="F16" s="81">
        <v>0</v>
      </c>
      <c r="G16" s="152">
        <f t="shared" si="0"/>
        <v>1</v>
      </c>
      <c r="H16" s="11">
        <f t="shared" si="1"/>
        <v>5</v>
      </c>
    </row>
    <row r="17" spans="1:9" ht="18" customHeight="1" x14ac:dyDescent="0.25">
      <c r="A17" s="31" t="s">
        <v>38</v>
      </c>
      <c r="B17" s="32" t="s">
        <v>51</v>
      </c>
      <c r="C17" s="32" t="s">
        <v>52</v>
      </c>
      <c r="D17" s="33" t="s">
        <v>53</v>
      </c>
      <c r="E17" s="1">
        <v>0</v>
      </c>
      <c r="F17" s="81">
        <v>0</v>
      </c>
      <c r="G17" s="152">
        <f t="shared" si="0"/>
        <v>1</v>
      </c>
      <c r="H17" s="11">
        <f t="shared" si="1"/>
        <v>5</v>
      </c>
    </row>
    <row r="18" spans="1:9" s="38" customFormat="1" ht="16.5" thickBot="1" x14ac:dyDescent="0.3">
      <c r="A18" s="35" t="s">
        <v>38</v>
      </c>
      <c r="B18" s="36"/>
      <c r="C18" s="36"/>
      <c r="D18" s="37" t="s">
        <v>59</v>
      </c>
      <c r="E18" s="19">
        <f>E6+E7+E8+E9+E10+E11+E12+E13+E14+E15+E16+E17</f>
        <v>0</v>
      </c>
      <c r="F18" s="21">
        <f>SUM(F6:F17)</f>
        <v>0</v>
      </c>
      <c r="G18" s="22"/>
      <c r="H18" s="23">
        <f>SUM(H6:H17)/12</f>
        <v>5</v>
      </c>
    </row>
    <row r="19" spans="1:9" ht="15.6" x14ac:dyDescent="0.3">
      <c r="A19" s="15"/>
      <c r="B19" s="15"/>
      <c r="C19" s="15"/>
      <c r="D19" s="15"/>
      <c r="E19" s="15"/>
    </row>
    <row r="20" spans="1:9" x14ac:dyDescent="0.25">
      <c r="A20" s="15"/>
      <c r="B20" s="15"/>
      <c r="C20" s="15"/>
      <c r="D20" s="15" t="s">
        <v>56</v>
      </c>
      <c r="E20" s="16"/>
      <c r="F20" s="18">
        <f>F18/A18</f>
        <v>0</v>
      </c>
    </row>
    <row r="21" spans="1:9" ht="15.6" x14ac:dyDescent="0.3">
      <c r="A21" s="15"/>
      <c r="B21" s="15"/>
      <c r="C21" s="15"/>
      <c r="D21" s="15"/>
      <c r="E21" s="39"/>
    </row>
    <row r="22" spans="1:9" s="17" customFormat="1" x14ac:dyDescent="0.25">
      <c r="A22" s="386" t="s">
        <v>91</v>
      </c>
      <c r="B22" s="386"/>
      <c r="C22" s="386"/>
      <c r="D22" s="386"/>
      <c r="E22" s="386"/>
      <c r="F22" s="386"/>
      <c r="G22" s="386"/>
      <c r="H22" s="386"/>
      <c r="I22" s="386"/>
    </row>
    <row r="23" spans="1:9" s="17" customFormat="1" ht="15.6" x14ac:dyDescent="0.3">
      <c r="A23" s="376">
        <v>44284</v>
      </c>
      <c r="B23" s="377"/>
      <c r="C23" s="378"/>
    </row>
    <row r="24" spans="1:9" ht="15.6" x14ac:dyDescent="0.3">
      <c r="A24" s="15"/>
      <c r="B24" s="15"/>
      <c r="C24" s="15"/>
      <c r="D24" s="15"/>
      <c r="E24" s="15"/>
    </row>
    <row r="25" spans="1:9" ht="15.6" x14ac:dyDescent="0.3">
      <c r="A25" s="15"/>
      <c r="B25" s="15"/>
      <c r="C25" s="15"/>
      <c r="D25" s="15"/>
      <c r="E25" s="15"/>
    </row>
    <row r="26" spans="1:9" ht="15.6" x14ac:dyDescent="0.3">
      <c r="A26" s="15"/>
      <c r="B26" s="15"/>
      <c r="C26" s="15"/>
      <c r="D26" s="15"/>
      <c r="E26" s="15"/>
    </row>
    <row r="31" spans="1:9" ht="15.6" x14ac:dyDescent="0.3">
      <c r="E31" s="40"/>
    </row>
    <row r="33" spans="1:5" ht="15.6" x14ac:dyDescent="0.3">
      <c r="A33" s="41"/>
      <c r="B33" s="41"/>
      <c r="C33" s="15"/>
      <c r="D33" s="26"/>
      <c r="E33" s="15"/>
    </row>
  </sheetData>
  <mergeCells count="5">
    <mergeCell ref="E3:F3"/>
    <mergeCell ref="H3:H5"/>
    <mergeCell ref="A1:H1"/>
    <mergeCell ref="A22:I22"/>
    <mergeCell ref="A23:C2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zoomScaleNormal="100" workbookViewId="0">
      <selection activeCell="I18" sqref="I18"/>
    </sheetView>
  </sheetViews>
  <sheetFormatPr defaultColWidth="9.140625" defaultRowHeight="15" x14ac:dyDescent="0.25"/>
  <cols>
    <col min="1" max="1" width="6.7109375" style="203" customWidth="1"/>
    <col min="2" max="2" width="9.140625" style="203" customWidth="1"/>
    <col min="3" max="3" width="13.28515625" style="203" customWidth="1"/>
    <col min="4" max="4" width="34.5703125" style="203" customWidth="1"/>
    <col min="5" max="6" width="15.7109375" style="203" customWidth="1"/>
    <col min="7" max="7" width="19.7109375" style="203" customWidth="1"/>
    <col min="8" max="8" width="28.7109375" style="203" customWidth="1"/>
    <col min="9" max="9" width="14" style="203" customWidth="1"/>
    <col min="10" max="16384" width="9.140625" style="203"/>
  </cols>
  <sheetData>
    <row r="1" spans="1:9" ht="18.75" x14ac:dyDescent="0.25">
      <c r="A1" s="456" t="s">
        <v>121</v>
      </c>
      <c r="B1" s="457"/>
      <c r="C1" s="457"/>
      <c r="D1" s="457"/>
      <c r="E1" s="457"/>
      <c r="F1" s="457"/>
      <c r="G1" s="457"/>
      <c r="H1" s="457"/>
      <c r="I1" s="457"/>
    </row>
    <row r="2" spans="1:9" ht="15.6" x14ac:dyDescent="0.3">
      <c r="A2" s="204"/>
      <c r="B2" s="204"/>
      <c r="C2" s="204"/>
      <c r="D2" s="205"/>
      <c r="E2" s="458"/>
      <c r="F2" s="458"/>
      <c r="G2" s="206"/>
      <c r="H2" s="206"/>
      <c r="I2" s="206"/>
    </row>
    <row r="3" spans="1:9" ht="99.75" customHeight="1" x14ac:dyDescent="0.25">
      <c r="A3" s="462" t="s">
        <v>1</v>
      </c>
      <c r="B3" s="462" t="s">
        <v>117</v>
      </c>
      <c r="C3" s="462" t="s">
        <v>2</v>
      </c>
      <c r="D3" s="462" t="s">
        <v>3</v>
      </c>
      <c r="E3" s="201" t="s">
        <v>125</v>
      </c>
      <c r="F3" s="202" t="s">
        <v>124</v>
      </c>
      <c r="G3" s="201" t="s">
        <v>80</v>
      </c>
      <c r="H3" s="201" t="s">
        <v>130</v>
      </c>
      <c r="I3" s="432" t="s">
        <v>58</v>
      </c>
    </row>
    <row r="4" spans="1:9" ht="76.5" x14ac:dyDescent="0.25">
      <c r="A4" s="463"/>
      <c r="B4" s="463"/>
      <c r="C4" s="463"/>
      <c r="D4" s="463"/>
      <c r="E4" s="207" t="s">
        <v>123</v>
      </c>
      <c r="F4" s="208" t="s">
        <v>122</v>
      </c>
      <c r="G4" s="207" t="s">
        <v>126</v>
      </c>
      <c r="H4" s="218" t="s">
        <v>129</v>
      </c>
      <c r="I4" s="432"/>
    </row>
    <row r="5" spans="1:9" ht="27" customHeight="1" x14ac:dyDescent="0.25">
      <c r="A5" s="193" t="s">
        <v>9</v>
      </c>
      <c r="B5" s="193" t="s">
        <v>10</v>
      </c>
      <c r="C5" s="193" t="s">
        <v>11</v>
      </c>
      <c r="D5" s="209" t="s">
        <v>12</v>
      </c>
      <c r="E5" s="216"/>
      <c r="F5" s="216"/>
      <c r="G5" s="198" t="e">
        <f t="shared" ref="G5:G16" si="0">(F5/E5)*100</f>
        <v>#DIV/0!</v>
      </c>
      <c r="H5" s="198">
        <v>1</v>
      </c>
      <c r="I5" s="198">
        <f>H5*5</f>
        <v>5</v>
      </c>
    </row>
    <row r="6" spans="1:9" ht="27" customHeight="1" x14ac:dyDescent="0.25">
      <c r="A6" s="193" t="s">
        <v>16</v>
      </c>
      <c r="B6" s="193" t="s">
        <v>13</v>
      </c>
      <c r="C6" s="193" t="s">
        <v>14</v>
      </c>
      <c r="D6" s="209" t="s">
        <v>15</v>
      </c>
      <c r="E6" s="216">
        <v>76549873.980000004</v>
      </c>
      <c r="F6" s="216">
        <v>83509919.840000004</v>
      </c>
      <c r="G6" s="198">
        <f t="shared" si="0"/>
        <v>109.09217154533583</v>
      </c>
      <c r="H6" s="198">
        <v>0.5</v>
      </c>
      <c r="I6" s="198">
        <f>H6*5</f>
        <v>2.5</v>
      </c>
    </row>
    <row r="7" spans="1:9" ht="27" customHeight="1" x14ac:dyDescent="0.25">
      <c r="A7" s="193" t="s">
        <v>17</v>
      </c>
      <c r="B7" s="193" t="s">
        <v>23</v>
      </c>
      <c r="C7" s="193" t="s">
        <v>24</v>
      </c>
      <c r="D7" s="209" t="s">
        <v>25</v>
      </c>
      <c r="E7" s="216">
        <v>1321.18</v>
      </c>
      <c r="F7" s="216">
        <v>1837.42</v>
      </c>
      <c r="G7" s="198">
        <f t="shared" si="0"/>
        <v>139.07416097730817</v>
      </c>
      <c r="H7" s="198">
        <v>0.5</v>
      </c>
      <c r="I7" s="198">
        <f t="shared" ref="I7:I15" si="1">H7*5</f>
        <v>2.5</v>
      </c>
    </row>
    <row r="8" spans="1:9" ht="27" customHeight="1" x14ac:dyDescent="0.25">
      <c r="A8" s="193" t="s">
        <v>18</v>
      </c>
      <c r="B8" s="193" t="s">
        <v>26</v>
      </c>
      <c r="C8" s="193" t="s">
        <v>27</v>
      </c>
      <c r="D8" s="209" t="s">
        <v>28</v>
      </c>
      <c r="E8" s="216">
        <v>125000</v>
      </c>
      <c r="F8" s="216">
        <v>125000</v>
      </c>
      <c r="G8" s="198">
        <f t="shared" si="0"/>
        <v>100</v>
      </c>
      <c r="H8" s="198">
        <v>1</v>
      </c>
      <c r="I8" s="198">
        <f t="shared" si="1"/>
        <v>5</v>
      </c>
    </row>
    <row r="9" spans="1:9" ht="27" customHeight="1" x14ac:dyDescent="0.25">
      <c r="A9" s="193" t="s">
        <v>19</v>
      </c>
      <c r="B9" s="193" t="s">
        <v>29</v>
      </c>
      <c r="C9" s="193" t="s">
        <v>30</v>
      </c>
      <c r="D9" s="209" t="s">
        <v>31</v>
      </c>
      <c r="E9" s="216">
        <v>123870.7</v>
      </c>
      <c r="F9" s="216">
        <v>123870.7</v>
      </c>
      <c r="G9" s="198">
        <f t="shared" si="0"/>
        <v>100</v>
      </c>
      <c r="H9" s="198">
        <v>1</v>
      </c>
      <c r="I9" s="198">
        <f t="shared" si="1"/>
        <v>5</v>
      </c>
    </row>
    <row r="10" spans="1:9" ht="27" customHeight="1" x14ac:dyDescent="0.25">
      <c r="A10" s="193" t="s">
        <v>20</v>
      </c>
      <c r="B10" s="193" t="s">
        <v>32</v>
      </c>
      <c r="C10" s="193" t="s">
        <v>33</v>
      </c>
      <c r="D10" s="209" t="s">
        <v>34</v>
      </c>
      <c r="E10" s="216"/>
      <c r="F10" s="216"/>
      <c r="G10" s="198" t="e">
        <f t="shared" si="0"/>
        <v>#DIV/0!</v>
      </c>
      <c r="H10" s="198">
        <v>1</v>
      </c>
      <c r="I10" s="198">
        <f t="shared" si="1"/>
        <v>5</v>
      </c>
    </row>
    <row r="11" spans="1:9" ht="27" customHeight="1" x14ac:dyDescent="0.25">
      <c r="A11" s="193" t="s">
        <v>21</v>
      </c>
      <c r="B11" s="193" t="s">
        <v>35</v>
      </c>
      <c r="C11" s="193" t="s">
        <v>36</v>
      </c>
      <c r="D11" s="209" t="s">
        <v>37</v>
      </c>
      <c r="E11" s="216">
        <v>2770441.83</v>
      </c>
      <c r="F11" s="216">
        <v>4109429.76</v>
      </c>
      <c r="G11" s="198">
        <f t="shared" si="0"/>
        <v>148.33120535145832</v>
      </c>
      <c r="H11" s="198">
        <v>0.5</v>
      </c>
      <c r="I11" s="198">
        <f t="shared" si="1"/>
        <v>2.5</v>
      </c>
    </row>
    <row r="12" spans="1:9" ht="27" customHeight="1" x14ac:dyDescent="0.25">
      <c r="A12" s="193" t="s">
        <v>22</v>
      </c>
      <c r="B12" s="193" t="s">
        <v>41</v>
      </c>
      <c r="C12" s="193" t="s">
        <v>39</v>
      </c>
      <c r="D12" s="209" t="s">
        <v>40</v>
      </c>
      <c r="E12" s="216">
        <v>1085070.18</v>
      </c>
      <c r="F12" s="216">
        <v>1085180.3</v>
      </c>
      <c r="G12" s="198">
        <f t="shared" si="0"/>
        <v>100.01014865232037</v>
      </c>
      <c r="H12" s="198">
        <v>1</v>
      </c>
      <c r="I12" s="198">
        <f>H12*5</f>
        <v>5</v>
      </c>
    </row>
    <row r="13" spans="1:9" ht="27" customHeight="1" x14ac:dyDescent="0.25">
      <c r="A13" s="199">
        <v>9</v>
      </c>
      <c r="B13" s="193" t="s">
        <v>42</v>
      </c>
      <c r="C13" s="193" t="s">
        <v>43</v>
      </c>
      <c r="D13" s="209" t="s">
        <v>44</v>
      </c>
      <c r="E13" s="216">
        <v>113202.57</v>
      </c>
      <c r="F13" s="216">
        <v>113202.57</v>
      </c>
      <c r="G13" s="198">
        <f t="shared" si="0"/>
        <v>100</v>
      </c>
      <c r="H13" s="198">
        <v>1</v>
      </c>
      <c r="I13" s="198">
        <f t="shared" si="1"/>
        <v>5</v>
      </c>
    </row>
    <row r="14" spans="1:9" ht="27" customHeight="1" x14ac:dyDescent="0.25">
      <c r="A14" s="199">
        <v>10</v>
      </c>
      <c r="B14" s="193" t="s">
        <v>45</v>
      </c>
      <c r="C14" s="193" t="s">
        <v>46</v>
      </c>
      <c r="D14" s="209" t="s">
        <v>47</v>
      </c>
      <c r="E14" s="216">
        <v>879.71</v>
      </c>
      <c r="F14" s="216">
        <v>879.71</v>
      </c>
      <c r="G14" s="198">
        <f t="shared" si="0"/>
        <v>100</v>
      </c>
      <c r="H14" s="198">
        <v>1</v>
      </c>
      <c r="I14" s="198">
        <f t="shared" si="1"/>
        <v>5</v>
      </c>
    </row>
    <row r="15" spans="1:9" ht="27" customHeight="1" x14ac:dyDescent="0.25">
      <c r="A15" s="199">
        <v>11</v>
      </c>
      <c r="B15" s="193" t="s">
        <v>48</v>
      </c>
      <c r="C15" s="193" t="s">
        <v>49</v>
      </c>
      <c r="D15" s="209" t="s">
        <v>50</v>
      </c>
      <c r="E15" s="216">
        <v>318626.52</v>
      </c>
      <c r="F15" s="216">
        <v>318626.52</v>
      </c>
      <c r="G15" s="198">
        <f t="shared" si="0"/>
        <v>100</v>
      </c>
      <c r="H15" s="198">
        <v>1</v>
      </c>
      <c r="I15" s="198">
        <f t="shared" si="1"/>
        <v>5</v>
      </c>
    </row>
    <row r="16" spans="1:9" ht="27" customHeight="1" x14ac:dyDescent="0.25">
      <c r="A16" s="193" t="s">
        <v>38</v>
      </c>
      <c r="B16" s="193" t="s">
        <v>51</v>
      </c>
      <c r="C16" s="193" t="s">
        <v>52</v>
      </c>
      <c r="D16" s="209" t="s">
        <v>53</v>
      </c>
      <c r="E16" s="216">
        <v>101301.56</v>
      </c>
      <c r="F16" s="216">
        <v>101301.56</v>
      </c>
      <c r="G16" s="198">
        <f t="shared" si="0"/>
        <v>100</v>
      </c>
      <c r="H16" s="198">
        <v>1</v>
      </c>
      <c r="I16" s="198">
        <f>H16*5</f>
        <v>5</v>
      </c>
    </row>
    <row r="17" spans="1:9" ht="27" customHeight="1" x14ac:dyDescent="0.25">
      <c r="A17" s="210" t="s">
        <v>38</v>
      </c>
      <c r="B17" s="210"/>
      <c r="C17" s="210"/>
      <c r="D17" s="211" t="s">
        <v>59</v>
      </c>
      <c r="E17" s="217">
        <f>SUM(E5:E16)</f>
        <v>81189588.230000004</v>
      </c>
      <c r="F17" s="217">
        <f>SUM(F5:F16)</f>
        <v>89489248.379999995</v>
      </c>
      <c r="G17" s="200">
        <f>(F17/E17)*100</f>
        <v>110.22256711844392</v>
      </c>
      <c r="H17" s="200">
        <f>SUM(H5:H16)</f>
        <v>10.5</v>
      </c>
      <c r="I17" s="200">
        <f>SUM(I5:I16)/12</f>
        <v>4.375</v>
      </c>
    </row>
    <row r="18" spans="1:9" ht="15.6" x14ac:dyDescent="0.3">
      <c r="A18" s="212"/>
      <c r="B18" s="212"/>
      <c r="C18" s="212"/>
      <c r="D18" s="212"/>
      <c r="E18" s="213"/>
      <c r="F18" s="206"/>
      <c r="G18" s="206"/>
      <c r="H18" s="206"/>
      <c r="I18" s="206"/>
    </row>
    <row r="19" spans="1:9" s="215" customFormat="1" ht="18.75" x14ac:dyDescent="0.25">
      <c r="A19" s="464" t="s">
        <v>127</v>
      </c>
      <c r="B19" s="464"/>
      <c r="C19" s="464"/>
      <c r="D19" s="464"/>
      <c r="E19" s="464"/>
      <c r="F19" s="464"/>
      <c r="G19" s="214"/>
      <c r="H19" s="455" t="s">
        <v>128</v>
      </c>
      <c r="I19" s="455"/>
    </row>
    <row r="20" spans="1:9" ht="15.6" x14ac:dyDescent="0.3">
      <c r="A20" s="459"/>
      <c r="B20" s="460"/>
      <c r="C20" s="461"/>
      <c r="D20" s="206"/>
      <c r="E20" s="206"/>
      <c r="F20" s="206"/>
      <c r="G20" s="206"/>
      <c r="H20" s="206"/>
      <c r="I20" s="206"/>
    </row>
  </sheetData>
  <mergeCells count="10">
    <mergeCell ref="H19:I19"/>
    <mergeCell ref="A1:I1"/>
    <mergeCell ref="E2:F2"/>
    <mergeCell ref="I3:I4"/>
    <mergeCell ref="A20:C20"/>
    <mergeCell ref="A3:A4"/>
    <mergeCell ref="B3:B4"/>
    <mergeCell ref="C3:C4"/>
    <mergeCell ref="D3:D4"/>
    <mergeCell ref="A19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view="pageBreakPreview" zoomScale="60" zoomScaleNormal="100" workbookViewId="0">
      <selection activeCell="P13" sqref="P13"/>
    </sheetView>
  </sheetViews>
  <sheetFormatPr defaultRowHeight="15" x14ac:dyDescent="0.25"/>
  <cols>
    <col min="1" max="1" width="6.7109375" customWidth="1"/>
    <col min="2" max="2" width="10.85546875" customWidth="1"/>
    <col min="3" max="3" width="13.28515625" customWidth="1"/>
    <col min="4" max="4" width="28.85546875" customWidth="1"/>
    <col min="5" max="5" width="17.5703125" customWidth="1"/>
    <col min="6" max="6" width="19.42578125" customWidth="1"/>
    <col min="7" max="7" width="19.7109375" customWidth="1"/>
    <col min="8" max="8" width="24.5703125" customWidth="1"/>
    <col min="9" max="9" width="14" customWidth="1"/>
  </cols>
  <sheetData>
    <row r="2" spans="1:9" ht="33.6" customHeight="1" x14ac:dyDescent="0.25">
      <c r="A2" s="379" t="s">
        <v>108</v>
      </c>
      <c r="B2" s="380"/>
      <c r="C2" s="380"/>
      <c r="D2" s="380"/>
      <c r="E2" s="380"/>
      <c r="F2" s="380"/>
      <c r="G2" s="380"/>
      <c r="H2" s="380"/>
      <c r="I2" s="380"/>
    </row>
    <row r="3" spans="1:9" ht="15.6" x14ac:dyDescent="0.3">
      <c r="A3" s="24"/>
      <c r="B3" s="24"/>
      <c r="C3" s="24"/>
      <c r="D3" s="165"/>
      <c r="E3" s="381"/>
      <c r="F3" s="381"/>
      <c r="G3" s="17"/>
      <c r="H3" s="17"/>
      <c r="I3" s="17"/>
    </row>
    <row r="4" spans="1:9" ht="31.5" x14ac:dyDescent="0.25">
      <c r="A4" s="229" t="s">
        <v>1</v>
      </c>
      <c r="B4" s="229" t="s">
        <v>117</v>
      </c>
      <c r="C4" s="229" t="s">
        <v>2</v>
      </c>
      <c r="D4" s="229" t="s">
        <v>3</v>
      </c>
      <c r="E4" s="465" t="s">
        <v>109</v>
      </c>
      <c r="F4" s="465"/>
      <c r="G4" s="332"/>
      <c r="H4" s="332"/>
      <c r="I4" s="466" t="s">
        <v>58</v>
      </c>
    </row>
    <row r="5" spans="1:9" ht="39" customHeight="1" x14ac:dyDescent="0.25">
      <c r="A5" s="229"/>
      <c r="B5" s="229"/>
      <c r="C5" s="229"/>
      <c r="D5" s="229"/>
      <c r="E5" s="229" t="s">
        <v>110</v>
      </c>
      <c r="F5" s="332" t="s">
        <v>100</v>
      </c>
      <c r="G5" s="332" t="s">
        <v>80</v>
      </c>
      <c r="H5" s="332" t="s">
        <v>73</v>
      </c>
      <c r="I5" s="467"/>
    </row>
    <row r="6" spans="1:9" ht="35.450000000000003" customHeight="1" x14ac:dyDescent="0.25">
      <c r="A6" s="229"/>
      <c r="B6" s="229"/>
      <c r="C6" s="229"/>
      <c r="D6" s="229"/>
      <c r="E6" s="229" t="s">
        <v>111</v>
      </c>
      <c r="F6" s="332" t="s">
        <v>112</v>
      </c>
      <c r="G6" s="332" t="s">
        <v>113</v>
      </c>
      <c r="H6" s="333" t="s">
        <v>114</v>
      </c>
      <c r="I6" s="467"/>
    </row>
    <row r="7" spans="1:9" ht="30" customHeight="1" x14ac:dyDescent="0.25">
      <c r="A7" s="193" t="s">
        <v>9</v>
      </c>
      <c r="B7" s="193" t="s">
        <v>10</v>
      </c>
      <c r="C7" s="193" t="s">
        <v>11</v>
      </c>
      <c r="D7" s="197" t="s">
        <v>12</v>
      </c>
      <c r="E7" s="181"/>
      <c r="F7" s="181"/>
      <c r="G7" s="152" t="e">
        <f t="shared" ref="G7:G18" si="0">(F7/E7)*100</f>
        <v>#DIV/0!</v>
      </c>
      <c r="H7" s="152">
        <v>1</v>
      </c>
      <c r="I7" s="198">
        <f>H7*5</f>
        <v>5</v>
      </c>
    </row>
    <row r="8" spans="1:9" ht="25.5" x14ac:dyDescent="0.25">
      <c r="A8" s="193" t="s">
        <v>16</v>
      </c>
      <c r="B8" s="193" t="s">
        <v>13</v>
      </c>
      <c r="C8" s="193" t="s">
        <v>14</v>
      </c>
      <c r="D8" s="197" t="s">
        <v>15</v>
      </c>
      <c r="E8" s="181"/>
      <c r="F8" s="181"/>
      <c r="G8" s="152" t="e">
        <f t="shared" si="0"/>
        <v>#DIV/0!</v>
      </c>
      <c r="H8" s="152">
        <v>1</v>
      </c>
      <c r="I8" s="198">
        <f>H8*5</f>
        <v>5</v>
      </c>
    </row>
    <row r="9" spans="1:9" ht="25.5" x14ac:dyDescent="0.25">
      <c r="A9" s="193" t="s">
        <v>17</v>
      </c>
      <c r="B9" s="193" t="s">
        <v>23</v>
      </c>
      <c r="C9" s="193" t="s">
        <v>24</v>
      </c>
      <c r="D9" s="197" t="s">
        <v>25</v>
      </c>
      <c r="E9" s="181"/>
      <c r="F9" s="181"/>
      <c r="G9" s="152" t="e">
        <f t="shared" si="0"/>
        <v>#DIV/0!</v>
      </c>
      <c r="H9" s="152">
        <v>1</v>
      </c>
      <c r="I9" s="198">
        <f t="shared" ref="I9:I18" si="1">H9*5</f>
        <v>5</v>
      </c>
    </row>
    <row r="10" spans="1:9" ht="27" customHeight="1" x14ac:dyDescent="0.25">
      <c r="A10" s="193" t="s">
        <v>18</v>
      </c>
      <c r="B10" s="193" t="s">
        <v>26</v>
      </c>
      <c r="C10" s="193" t="s">
        <v>27</v>
      </c>
      <c r="D10" s="197" t="s">
        <v>28</v>
      </c>
      <c r="E10" s="181"/>
      <c r="F10" s="181"/>
      <c r="G10" s="152" t="e">
        <f t="shared" si="0"/>
        <v>#DIV/0!</v>
      </c>
      <c r="H10" s="152">
        <v>1</v>
      </c>
      <c r="I10" s="198">
        <f t="shared" si="1"/>
        <v>5</v>
      </c>
    </row>
    <row r="11" spans="1:9" ht="43.15" customHeight="1" x14ac:dyDescent="0.25">
      <c r="A11" s="193" t="s">
        <v>19</v>
      </c>
      <c r="B11" s="193" t="s">
        <v>29</v>
      </c>
      <c r="C11" s="193" t="s">
        <v>30</v>
      </c>
      <c r="D11" s="197" t="s">
        <v>31</v>
      </c>
      <c r="E11" s="181"/>
      <c r="F11" s="181"/>
      <c r="G11" s="152" t="e">
        <f t="shared" si="0"/>
        <v>#DIV/0!</v>
      </c>
      <c r="H11" s="152">
        <v>1</v>
      </c>
      <c r="I11" s="198">
        <f t="shared" si="1"/>
        <v>5</v>
      </c>
    </row>
    <row r="12" spans="1:9" ht="38.25" x14ac:dyDescent="0.25">
      <c r="A12" s="193" t="s">
        <v>20</v>
      </c>
      <c r="B12" s="193" t="s">
        <v>32</v>
      </c>
      <c r="C12" s="193" t="s">
        <v>33</v>
      </c>
      <c r="D12" s="197" t="s">
        <v>34</v>
      </c>
      <c r="E12" s="181"/>
      <c r="F12" s="181"/>
      <c r="G12" s="152" t="e">
        <f t="shared" si="0"/>
        <v>#DIV/0!</v>
      </c>
      <c r="H12" s="152">
        <v>1</v>
      </c>
      <c r="I12" s="198">
        <f t="shared" si="1"/>
        <v>5</v>
      </c>
    </row>
    <row r="13" spans="1:9" ht="15.75" x14ac:dyDescent="0.25">
      <c r="A13" s="193" t="s">
        <v>21</v>
      </c>
      <c r="B13" s="193" t="s">
        <v>35</v>
      </c>
      <c r="C13" s="193" t="s">
        <v>36</v>
      </c>
      <c r="D13" s="197" t="s">
        <v>37</v>
      </c>
      <c r="E13" s="181"/>
      <c r="F13" s="181"/>
      <c r="G13" s="152" t="e">
        <f t="shared" si="0"/>
        <v>#DIV/0!</v>
      </c>
      <c r="H13" s="152">
        <v>1</v>
      </c>
      <c r="I13" s="198">
        <f t="shared" si="1"/>
        <v>5</v>
      </c>
    </row>
    <row r="14" spans="1:9" ht="16.149999999999999" customHeight="1" x14ac:dyDescent="0.25">
      <c r="A14" s="193" t="s">
        <v>22</v>
      </c>
      <c r="B14" s="193" t="s">
        <v>41</v>
      </c>
      <c r="C14" s="193" t="s">
        <v>39</v>
      </c>
      <c r="D14" s="197" t="s">
        <v>40</v>
      </c>
      <c r="E14" s="181">
        <v>3932544.22</v>
      </c>
      <c r="F14" s="181">
        <v>3932544.22</v>
      </c>
      <c r="G14" s="152">
        <f t="shared" si="0"/>
        <v>100</v>
      </c>
      <c r="H14" s="152">
        <v>1</v>
      </c>
      <c r="I14" s="198">
        <f>H14*5</f>
        <v>5</v>
      </c>
    </row>
    <row r="15" spans="1:9" ht="15.75" x14ac:dyDescent="0.25">
      <c r="A15" s="199">
        <v>9</v>
      </c>
      <c r="B15" s="193" t="s">
        <v>42</v>
      </c>
      <c r="C15" s="193" t="s">
        <v>43</v>
      </c>
      <c r="D15" s="197" t="s">
        <v>44</v>
      </c>
      <c r="E15" s="181"/>
      <c r="F15" s="181"/>
      <c r="G15" s="152" t="e">
        <f t="shared" si="0"/>
        <v>#DIV/0!</v>
      </c>
      <c r="H15" s="152">
        <v>1</v>
      </c>
      <c r="I15" s="198">
        <f t="shared" si="1"/>
        <v>5</v>
      </c>
    </row>
    <row r="16" spans="1:9" ht="25.5" x14ac:dyDescent="0.25">
      <c r="A16" s="199">
        <v>10</v>
      </c>
      <c r="B16" s="193" t="s">
        <v>45</v>
      </c>
      <c r="C16" s="193" t="s">
        <v>46</v>
      </c>
      <c r="D16" s="197" t="s">
        <v>47</v>
      </c>
      <c r="E16" s="181"/>
      <c r="F16" s="181"/>
      <c r="G16" s="152" t="e">
        <f t="shared" si="0"/>
        <v>#DIV/0!</v>
      </c>
      <c r="H16" s="152">
        <v>1</v>
      </c>
      <c r="I16" s="198">
        <f t="shared" si="1"/>
        <v>5</v>
      </c>
    </row>
    <row r="17" spans="1:9" ht="25.5" x14ac:dyDescent="0.25">
      <c r="A17" s="199">
        <v>11</v>
      </c>
      <c r="B17" s="193" t="s">
        <v>48</v>
      </c>
      <c r="C17" s="193" t="s">
        <v>49</v>
      </c>
      <c r="D17" s="197" t="s">
        <v>50</v>
      </c>
      <c r="E17" s="181"/>
      <c r="F17" s="181"/>
      <c r="G17" s="152" t="e">
        <f t="shared" si="0"/>
        <v>#DIV/0!</v>
      </c>
      <c r="H17" s="152">
        <v>1</v>
      </c>
      <c r="I17" s="198">
        <f t="shared" si="1"/>
        <v>5</v>
      </c>
    </row>
    <row r="18" spans="1:9" ht="28.15" customHeight="1" x14ac:dyDescent="0.25">
      <c r="A18" s="193" t="s">
        <v>38</v>
      </c>
      <c r="B18" s="193" t="s">
        <v>51</v>
      </c>
      <c r="C18" s="193" t="s">
        <v>52</v>
      </c>
      <c r="D18" s="197" t="s">
        <v>53</v>
      </c>
      <c r="E18" s="181">
        <v>13025</v>
      </c>
      <c r="F18" s="181">
        <v>13025</v>
      </c>
      <c r="G18" s="152">
        <f t="shared" si="0"/>
        <v>100</v>
      </c>
      <c r="H18" s="152">
        <v>1</v>
      </c>
      <c r="I18" s="198">
        <f t="shared" si="1"/>
        <v>5</v>
      </c>
    </row>
    <row r="19" spans="1:9" ht="15.75" x14ac:dyDescent="0.25">
      <c r="A19" s="468" t="s">
        <v>59</v>
      </c>
      <c r="B19" s="468"/>
      <c r="C19" s="468"/>
      <c r="D19" s="468"/>
      <c r="E19" s="324">
        <f>E7+E8+E9+E10+E11+E12+E13+E14+E15+E16+E17+E18</f>
        <v>3945569.22</v>
      </c>
      <c r="F19" s="325">
        <f>F7+F8+F9+F10+F11+F12+F13+F14+F15+F16+F17+F18</f>
        <v>3945569.22</v>
      </c>
      <c r="G19" s="325"/>
      <c r="H19" s="326">
        <f t="shared" ref="H19:I19" si="2">H7+H8+H9+H10+H11+H12+H13+H14+H15+H16+H17+H18</f>
        <v>12</v>
      </c>
      <c r="I19" s="326">
        <f t="shared" si="2"/>
        <v>60</v>
      </c>
    </row>
    <row r="20" spans="1:9" ht="15.75" x14ac:dyDescent="0.25">
      <c r="A20" s="469" t="s">
        <v>204</v>
      </c>
      <c r="B20" s="470"/>
      <c r="C20" s="470"/>
      <c r="D20" s="471"/>
      <c r="E20" s="324"/>
      <c r="F20" s="325"/>
      <c r="G20" s="330"/>
      <c r="H20" s="198">
        <f>H19/12</f>
        <v>1</v>
      </c>
      <c r="I20" s="198">
        <f>I19/12</f>
        <v>5</v>
      </c>
    </row>
    <row r="21" spans="1:9" ht="21" customHeight="1" x14ac:dyDescent="0.25">
      <c r="A21" s="15" t="s">
        <v>115</v>
      </c>
      <c r="B21" s="15"/>
      <c r="C21" s="15"/>
      <c r="D21" s="15"/>
      <c r="E21" s="15"/>
      <c r="F21" s="17"/>
      <c r="G21" s="17"/>
      <c r="H21" s="17"/>
      <c r="I21" s="17"/>
    </row>
    <row r="22" spans="1:9" ht="16.899999999999999" customHeight="1" x14ac:dyDescent="0.3">
      <c r="A22" s="15"/>
      <c r="B22" s="15"/>
      <c r="C22" s="15"/>
      <c r="D22" s="15"/>
      <c r="E22" s="39"/>
      <c r="F22" s="17"/>
      <c r="G22" s="17"/>
      <c r="H22" s="17"/>
      <c r="I22" s="17"/>
    </row>
    <row r="23" spans="1:9" ht="14.45" customHeight="1" x14ac:dyDescent="0.25">
      <c r="A23" s="386" t="s">
        <v>120</v>
      </c>
      <c r="B23" s="386"/>
      <c r="C23" s="386"/>
      <c r="D23" s="386"/>
      <c r="E23" s="386"/>
      <c r="F23" s="386"/>
      <c r="G23" s="386"/>
      <c r="H23" s="386"/>
      <c r="I23" s="386"/>
    </row>
    <row r="24" spans="1:9" ht="15.6" hidden="1" x14ac:dyDescent="0.3">
      <c r="A24" s="376"/>
      <c r="B24" s="377"/>
      <c r="C24" s="378"/>
      <c r="D24" s="17"/>
      <c r="E24" s="17"/>
      <c r="F24" s="17"/>
      <c r="G24" s="17"/>
      <c r="H24" s="17"/>
      <c r="I24" s="17"/>
    </row>
  </sheetData>
  <mergeCells count="8">
    <mergeCell ref="A24:C24"/>
    <mergeCell ref="A2:I2"/>
    <mergeCell ref="E3:F3"/>
    <mergeCell ref="E4:F4"/>
    <mergeCell ref="I4:I6"/>
    <mergeCell ref="A23:I23"/>
    <mergeCell ref="A19:D19"/>
    <mergeCell ref="A20:D20"/>
  </mergeCells>
  <pageMargins left="0.7" right="0.7" top="0.7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view="pageBreakPreview" topLeftCell="A4" zoomScale="60" zoomScaleNormal="100" workbookViewId="0">
      <selection activeCell="P11" sqref="P11"/>
    </sheetView>
  </sheetViews>
  <sheetFormatPr defaultRowHeight="15" x14ac:dyDescent="0.25"/>
  <cols>
    <col min="1" max="1" width="5.140625" customWidth="1"/>
    <col min="2" max="2" width="6.28515625" customWidth="1"/>
    <col min="3" max="3" width="13.28515625" customWidth="1"/>
    <col min="4" max="4" width="30.7109375" customWidth="1"/>
    <col min="5" max="5" width="17.5703125" customWidth="1"/>
    <col min="6" max="6" width="19.42578125" customWidth="1"/>
    <col min="7" max="7" width="19.7109375" customWidth="1"/>
    <col min="8" max="8" width="24.42578125" customWidth="1"/>
    <col min="9" max="9" width="14" customWidth="1"/>
  </cols>
  <sheetData>
    <row r="2" spans="1:9" x14ac:dyDescent="0.25">
      <c r="A2" s="379" t="s">
        <v>144</v>
      </c>
      <c r="B2" s="380"/>
      <c r="C2" s="380"/>
      <c r="D2" s="380"/>
      <c r="E2" s="380"/>
      <c r="F2" s="380"/>
      <c r="G2" s="380"/>
      <c r="H2" s="380"/>
      <c r="I2" s="380"/>
    </row>
    <row r="3" spans="1:9" ht="16.149999999999999" thickBot="1" x14ac:dyDescent="0.35">
      <c r="A3" s="24"/>
      <c r="B3" s="24"/>
      <c r="C3" s="24"/>
      <c r="D3" s="219"/>
      <c r="E3" s="381"/>
      <c r="F3" s="381"/>
      <c r="G3" s="17"/>
      <c r="H3" s="17"/>
      <c r="I3" s="17"/>
    </row>
    <row r="4" spans="1:9" ht="32.25" thickBot="1" x14ac:dyDescent="0.3">
      <c r="A4" s="167" t="s">
        <v>1</v>
      </c>
      <c r="B4" s="221" t="s">
        <v>117</v>
      </c>
      <c r="C4" s="221" t="s">
        <v>2</v>
      </c>
      <c r="D4" s="221" t="s">
        <v>3</v>
      </c>
      <c r="E4" s="382" t="s">
        <v>145</v>
      </c>
      <c r="F4" s="382"/>
      <c r="G4" s="168"/>
      <c r="H4" s="168"/>
      <c r="I4" s="383" t="s">
        <v>58</v>
      </c>
    </row>
    <row r="5" spans="1:9" ht="34.15" customHeight="1" thickBot="1" x14ac:dyDescent="0.3">
      <c r="A5" s="169"/>
      <c r="B5" s="170"/>
      <c r="C5" s="170"/>
      <c r="D5" s="170"/>
      <c r="E5" s="170" t="s">
        <v>146</v>
      </c>
      <c r="F5" s="171" t="s">
        <v>147</v>
      </c>
      <c r="G5" s="172" t="s">
        <v>80</v>
      </c>
      <c r="H5" s="173" t="s">
        <v>73</v>
      </c>
      <c r="I5" s="384"/>
    </row>
    <row r="6" spans="1:9" ht="55.5" customHeight="1" thickBot="1" x14ac:dyDescent="0.3">
      <c r="A6" s="174"/>
      <c r="B6" s="175"/>
      <c r="C6" s="175"/>
      <c r="D6" s="175"/>
      <c r="E6" s="175" t="s">
        <v>149</v>
      </c>
      <c r="F6" s="176" t="s">
        <v>148</v>
      </c>
      <c r="G6" s="177" t="s">
        <v>214</v>
      </c>
      <c r="H6" s="178" t="s">
        <v>206</v>
      </c>
      <c r="I6" s="385"/>
    </row>
    <row r="7" spans="1:9" ht="30" customHeight="1" thickBot="1" x14ac:dyDescent="0.3">
      <c r="A7" s="190" t="s">
        <v>9</v>
      </c>
      <c r="B7" s="191" t="s">
        <v>10</v>
      </c>
      <c r="C7" s="191" t="s">
        <v>11</v>
      </c>
      <c r="D7" s="196" t="s">
        <v>12</v>
      </c>
      <c r="E7" s="233">
        <v>239.1</v>
      </c>
      <c r="F7" s="236">
        <v>0</v>
      </c>
      <c r="G7" s="187">
        <f>(F7-E7)/E7</f>
        <v>-1</v>
      </c>
      <c r="H7" s="9">
        <v>1</v>
      </c>
      <c r="I7" s="239">
        <v>5</v>
      </c>
    </row>
    <row r="8" spans="1:9" ht="26.25" thickBot="1" x14ac:dyDescent="0.3">
      <c r="A8" s="192" t="s">
        <v>16</v>
      </c>
      <c r="B8" s="193" t="s">
        <v>13</v>
      </c>
      <c r="C8" s="193" t="s">
        <v>14</v>
      </c>
      <c r="D8" s="197" t="s">
        <v>15</v>
      </c>
      <c r="E8" s="234">
        <v>192412.36</v>
      </c>
      <c r="F8" s="237">
        <v>26814543.539999999</v>
      </c>
      <c r="G8" s="187">
        <f t="shared" ref="G8:G18" si="0">(F8-E8)/E8</f>
        <v>138.35977678357045</v>
      </c>
      <c r="H8" s="9">
        <v>0</v>
      </c>
      <c r="I8" s="240">
        <f>H8*5</f>
        <v>0</v>
      </c>
    </row>
    <row r="9" spans="1:9" ht="26.25" thickBot="1" x14ac:dyDescent="0.3">
      <c r="A9" s="192" t="s">
        <v>17</v>
      </c>
      <c r="B9" s="193" t="s">
        <v>23</v>
      </c>
      <c r="C9" s="193" t="s">
        <v>24</v>
      </c>
      <c r="D9" s="197" t="s">
        <v>25</v>
      </c>
      <c r="E9" s="234">
        <v>0</v>
      </c>
      <c r="F9" s="237">
        <v>0</v>
      </c>
      <c r="G9" s="187">
        <v>-1</v>
      </c>
      <c r="H9" s="9">
        <v>1</v>
      </c>
      <c r="I9" s="240">
        <f t="shared" ref="I9:I18" si="1">H9*5</f>
        <v>5</v>
      </c>
    </row>
    <row r="10" spans="1:9" ht="29.45" customHeight="1" thickBot="1" x14ac:dyDescent="0.3">
      <c r="A10" s="192" t="s">
        <v>18</v>
      </c>
      <c r="B10" s="193" t="s">
        <v>26</v>
      </c>
      <c r="C10" s="193" t="s">
        <v>27</v>
      </c>
      <c r="D10" s="197" t="s">
        <v>28</v>
      </c>
      <c r="E10" s="234">
        <v>0</v>
      </c>
      <c r="F10" s="237">
        <v>0</v>
      </c>
      <c r="G10" s="187">
        <v>-1</v>
      </c>
      <c r="H10" s="9">
        <v>1</v>
      </c>
      <c r="I10" s="240">
        <f t="shared" si="1"/>
        <v>5</v>
      </c>
    </row>
    <row r="11" spans="1:9" ht="41.45" customHeight="1" thickBot="1" x14ac:dyDescent="0.3">
      <c r="A11" s="192" t="s">
        <v>19</v>
      </c>
      <c r="B11" s="193" t="s">
        <v>29</v>
      </c>
      <c r="C11" s="193" t="s">
        <v>30</v>
      </c>
      <c r="D11" s="197" t="s">
        <v>31</v>
      </c>
      <c r="E11" s="234">
        <v>3870.7</v>
      </c>
      <c r="F11" s="237">
        <v>0</v>
      </c>
      <c r="G11" s="187">
        <f t="shared" si="0"/>
        <v>-1</v>
      </c>
      <c r="H11" s="9">
        <v>1</v>
      </c>
      <c r="I11" s="240">
        <f t="shared" si="1"/>
        <v>5</v>
      </c>
    </row>
    <row r="12" spans="1:9" ht="32.450000000000003" customHeight="1" thickBot="1" x14ac:dyDescent="0.3">
      <c r="A12" s="192" t="s">
        <v>20</v>
      </c>
      <c r="B12" s="193" t="s">
        <v>32</v>
      </c>
      <c r="C12" s="193" t="s">
        <v>33</v>
      </c>
      <c r="D12" s="197" t="s">
        <v>34</v>
      </c>
      <c r="E12" s="234">
        <v>0</v>
      </c>
      <c r="F12" s="237">
        <v>0</v>
      </c>
      <c r="G12" s="187">
        <v>-1</v>
      </c>
      <c r="H12" s="9">
        <v>1</v>
      </c>
      <c r="I12" s="240">
        <f t="shared" si="1"/>
        <v>5</v>
      </c>
    </row>
    <row r="13" spans="1:9" ht="16.5" thickBot="1" x14ac:dyDescent="0.3">
      <c r="A13" s="192" t="s">
        <v>21</v>
      </c>
      <c r="B13" s="193" t="s">
        <v>35</v>
      </c>
      <c r="C13" s="193" t="s">
        <v>36</v>
      </c>
      <c r="D13" s="197" t="s">
        <v>37</v>
      </c>
      <c r="E13" s="234">
        <v>13230.86</v>
      </c>
      <c r="F13" s="237">
        <v>12379.46</v>
      </c>
      <c r="G13" s="187">
        <f t="shared" si="0"/>
        <v>-6.4349558532098547E-2</v>
      </c>
      <c r="H13" s="198">
        <f>(-2*G13)</f>
        <v>0.12869911706419709</v>
      </c>
      <c r="I13" s="240">
        <f t="shared" si="1"/>
        <v>0.6434955853209855</v>
      </c>
    </row>
    <row r="14" spans="1:9" ht="19.899999999999999" customHeight="1" thickBot="1" x14ac:dyDescent="0.3">
      <c r="A14" s="192" t="s">
        <v>22</v>
      </c>
      <c r="B14" s="193" t="s">
        <v>41</v>
      </c>
      <c r="C14" s="193" t="s">
        <v>39</v>
      </c>
      <c r="D14" s="197" t="s">
        <v>40</v>
      </c>
      <c r="E14" s="234">
        <v>0</v>
      </c>
      <c r="F14" s="237">
        <v>0</v>
      </c>
      <c r="G14" s="187">
        <v>-1</v>
      </c>
      <c r="H14" s="9">
        <v>1</v>
      </c>
      <c r="I14" s="240">
        <f>H14*5</f>
        <v>5</v>
      </c>
    </row>
    <row r="15" spans="1:9" ht="16.5" thickBot="1" x14ac:dyDescent="0.3">
      <c r="A15" s="194">
        <v>9</v>
      </c>
      <c r="B15" s="193" t="s">
        <v>42</v>
      </c>
      <c r="C15" s="193" t="s">
        <v>43</v>
      </c>
      <c r="D15" s="197" t="s">
        <v>44</v>
      </c>
      <c r="E15" s="234">
        <v>2288.94</v>
      </c>
      <c r="F15" s="237">
        <v>3463.3</v>
      </c>
      <c r="G15" s="187">
        <f t="shared" si="0"/>
        <v>0.51305844626770469</v>
      </c>
      <c r="H15" s="9">
        <v>0</v>
      </c>
      <c r="I15" s="240">
        <f t="shared" si="1"/>
        <v>0</v>
      </c>
    </row>
    <row r="16" spans="1:9" ht="26.25" thickBot="1" x14ac:dyDescent="0.3">
      <c r="A16" s="194">
        <v>10</v>
      </c>
      <c r="B16" s="193" t="s">
        <v>45</v>
      </c>
      <c r="C16" s="193" t="s">
        <v>46</v>
      </c>
      <c r="D16" s="197" t="s">
        <v>47</v>
      </c>
      <c r="E16" s="234">
        <v>879.71</v>
      </c>
      <c r="F16" s="237">
        <v>368.59</v>
      </c>
      <c r="G16" s="187">
        <f t="shared" si="0"/>
        <v>-0.58100965090768553</v>
      </c>
      <c r="H16" s="9">
        <v>1</v>
      </c>
      <c r="I16" s="240">
        <f t="shared" si="1"/>
        <v>5</v>
      </c>
    </row>
    <row r="17" spans="1:9" ht="19.149999999999999" customHeight="1" thickBot="1" x14ac:dyDescent="0.3">
      <c r="A17" s="194">
        <v>11</v>
      </c>
      <c r="B17" s="193" t="s">
        <v>48</v>
      </c>
      <c r="C17" s="193" t="s">
        <v>49</v>
      </c>
      <c r="D17" s="197" t="s">
        <v>50</v>
      </c>
      <c r="E17" s="234">
        <v>6412.09</v>
      </c>
      <c r="F17" s="237">
        <v>8332.99</v>
      </c>
      <c r="G17" s="187">
        <f t="shared" si="0"/>
        <v>0.29957470965005162</v>
      </c>
      <c r="H17" s="9">
        <v>0</v>
      </c>
      <c r="I17" s="240">
        <f t="shared" si="1"/>
        <v>0</v>
      </c>
    </row>
    <row r="18" spans="1:9" ht="29.45" customHeight="1" thickBot="1" x14ac:dyDescent="0.3">
      <c r="A18" s="192" t="s">
        <v>38</v>
      </c>
      <c r="B18" s="193" t="s">
        <v>51</v>
      </c>
      <c r="C18" s="193" t="s">
        <v>52</v>
      </c>
      <c r="D18" s="197" t="s">
        <v>53</v>
      </c>
      <c r="E18" s="235">
        <v>248742.53</v>
      </c>
      <c r="F18" s="238">
        <v>234838.17</v>
      </c>
      <c r="G18" s="187">
        <f t="shared" si="0"/>
        <v>-5.589860326659854E-2</v>
      </c>
      <c r="H18" s="198">
        <f>(-2*G18)</f>
        <v>0.11179720653319708</v>
      </c>
      <c r="I18" s="240">
        <f t="shared" si="1"/>
        <v>0.55898603266598546</v>
      </c>
    </row>
    <row r="19" spans="1:9" ht="16.5" thickBot="1" x14ac:dyDescent="0.3">
      <c r="A19" s="35" t="s">
        <v>38</v>
      </c>
      <c r="B19" s="36"/>
      <c r="C19" s="36"/>
      <c r="D19" s="37" t="s">
        <v>59</v>
      </c>
      <c r="E19" s="185">
        <f>E7+E8+E9+E10+E11+E12+E13+E14+E15+E16+E17+E18</f>
        <v>468076.29000000004</v>
      </c>
      <c r="F19" s="186">
        <f>F7+F8+F9+F10+F11+F12+F13+F14+F15+F16+F17+F18</f>
        <v>27073926.050000001</v>
      </c>
      <c r="G19" s="188">
        <f>SUM(G7:G18)</f>
        <v>132.47115212678185</v>
      </c>
      <c r="H19" s="20"/>
      <c r="I19" s="20">
        <f>SUM(I7:I18)/12</f>
        <v>3.0168734681655809</v>
      </c>
    </row>
    <row r="20" spans="1:9" ht="15.6" x14ac:dyDescent="0.3">
      <c r="A20" s="15"/>
      <c r="B20" s="15"/>
      <c r="C20" s="15"/>
      <c r="D20" s="15"/>
      <c r="E20" s="15"/>
      <c r="F20" s="17"/>
      <c r="G20" s="17"/>
      <c r="H20" s="17"/>
      <c r="I20" s="17"/>
    </row>
    <row r="21" spans="1:9" ht="15.6" x14ac:dyDescent="0.3">
      <c r="A21" s="15"/>
      <c r="B21" s="15"/>
      <c r="C21" s="15"/>
      <c r="D21" s="15"/>
      <c r="E21" s="39"/>
      <c r="F21" s="17"/>
      <c r="G21" s="17"/>
      <c r="H21" s="17"/>
      <c r="I21" s="17"/>
    </row>
    <row r="22" spans="1:9" ht="15.75" x14ac:dyDescent="0.25">
      <c r="A22" s="386" t="s">
        <v>150</v>
      </c>
      <c r="B22" s="386"/>
      <c r="C22" s="386"/>
      <c r="D22" s="386"/>
      <c r="E22" s="386"/>
      <c r="F22" s="386"/>
      <c r="G22" s="386"/>
      <c r="H22" s="386"/>
      <c r="I22" s="386"/>
    </row>
  </sheetData>
  <mergeCells count="5">
    <mergeCell ref="A2:I2"/>
    <mergeCell ref="E3:F3"/>
    <mergeCell ref="E4:F4"/>
    <mergeCell ref="I4:I6"/>
    <mergeCell ref="A22:I22"/>
  </mergeCells>
  <pageMargins left="0.7" right="0.7" top="0.75" bottom="0.75" header="0.3" footer="0.3"/>
  <pageSetup paperSize="9"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3"/>
  <sheetViews>
    <sheetView view="pageBreakPreview" topLeftCell="A4" zoomScale="60" zoomScaleNormal="100" workbookViewId="0">
      <selection activeCell="D13" sqref="D13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2.42578125" style="17" customWidth="1"/>
    <col min="5" max="5" width="18.85546875" style="17" customWidth="1"/>
    <col min="6" max="6" width="25.28515625" style="17" customWidth="1"/>
    <col min="7" max="7" width="16" style="17" customWidth="1"/>
    <col min="8" max="8" width="19.42578125" style="17" customWidth="1"/>
    <col min="9" max="9" width="12.5703125" style="17" customWidth="1"/>
    <col min="10" max="16384" width="9.140625" style="17"/>
  </cols>
  <sheetData>
    <row r="1" spans="1:173" ht="18.75" customHeight="1" x14ac:dyDescent="0.25">
      <c r="A1" s="441" t="s">
        <v>152</v>
      </c>
      <c r="B1" s="441"/>
      <c r="C1" s="441"/>
      <c r="D1" s="441"/>
      <c r="E1" s="441"/>
      <c r="F1" s="441"/>
      <c r="G1" s="441"/>
      <c r="H1" s="441"/>
      <c r="I1" s="441"/>
    </row>
    <row r="2" spans="1:173" ht="16.5" thickBot="1" x14ac:dyDescent="0.3">
      <c r="D2" s="241" t="s">
        <v>76</v>
      </c>
      <c r="E2" s="442" t="s">
        <v>0</v>
      </c>
      <c r="F2" s="442"/>
    </row>
    <row r="3" spans="1:173" ht="31.5" customHeight="1" thickBot="1" x14ac:dyDescent="0.3">
      <c r="A3" s="71" t="s">
        <v>1</v>
      </c>
      <c r="B3" s="51"/>
      <c r="C3" s="52" t="s">
        <v>2</v>
      </c>
      <c r="D3" s="112" t="s">
        <v>3</v>
      </c>
      <c r="E3" s="445"/>
      <c r="F3" s="423"/>
      <c r="G3" s="107"/>
      <c r="H3" s="424" t="s">
        <v>156</v>
      </c>
      <c r="I3" s="424" t="s">
        <v>58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</row>
    <row r="4" spans="1:173" ht="86.25" customHeight="1" thickBot="1" x14ac:dyDescent="0.3">
      <c r="A4" s="51"/>
      <c r="B4" s="72"/>
      <c r="C4" s="72"/>
      <c r="D4" s="113"/>
      <c r="E4" s="13" t="s">
        <v>215</v>
      </c>
      <c r="F4" s="73" t="s">
        <v>216</v>
      </c>
      <c r="G4" s="108" t="s">
        <v>80</v>
      </c>
      <c r="H4" s="446"/>
      <c r="I4" s="425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</row>
    <row r="5" spans="1:173" ht="36.75" customHeight="1" thickBot="1" x14ac:dyDescent="0.3">
      <c r="A5" s="83"/>
      <c r="B5" s="53"/>
      <c r="C5" s="53"/>
      <c r="D5" s="70"/>
      <c r="E5" s="53" t="s">
        <v>153</v>
      </c>
      <c r="F5" s="70" t="s">
        <v>154</v>
      </c>
      <c r="G5" s="109" t="s">
        <v>155</v>
      </c>
      <c r="H5" s="447"/>
      <c r="I5" s="42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</row>
    <row r="6" spans="1:173" ht="16.5" thickBot="1" x14ac:dyDescent="0.3">
      <c r="A6" s="84" t="s">
        <v>9</v>
      </c>
      <c r="B6" s="56" t="s">
        <v>10</v>
      </c>
      <c r="C6" s="57" t="s">
        <v>11</v>
      </c>
      <c r="D6" s="114" t="s">
        <v>12</v>
      </c>
      <c r="E6" s="10">
        <v>0</v>
      </c>
      <c r="F6" s="6">
        <v>0</v>
      </c>
      <c r="G6" s="110">
        <v>0</v>
      </c>
      <c r="H6" s="105">
        <f>IF(G6&gt;10,0,1-(G6/100))</f>
        <v>1</v>
      </c>
      <c r="I6" s="250">
        <v>5</v>
      </c>
    </row>
    <row r="7" spans="1:173" ht="18.75" customHeight="1" thickBot="1" x14ac:dyDescent="0.3">
      <c r="A7" s="58" t="s">
        <v>16</v>
      </c>
      <c r="B7" s="59" t="s">
        <v>13</v>
      </c>
      <c r="C7" s="60" t="s">
        <v>14</v>
      </c>
      <c r="D7" s="115" t="s">
        <v>15</v>
      </c>
      <c r="E7" s="6">
        <v>0</v>
      </c>
      <c r="F7" s="6">
        <v>0</v>
      </c>
      <c r="G7" s="340">
        <v>0</v>
      </c>
      <c r="H7" s="106">
        <v>1</v>
      </c>
      <c r="I7" s="250">
        <v>5</v>
      </c>
    </row>
    <row r="8" spans="1:173" ht="16.5" thickBot="1" x14ac:dyDescent="0.3">
      <c r="A8" s="58" t="s">
        <v>17</v>
      </c>
      <c r="B8" s="59" t="s">
        <v>23</v>
      </c>
      <c r="C8" s="60" t="s">
        <v>24</v>
      </c>
      <c r="D8" s="115" t="s">
        <v>25</v>
      </c>
      <c r="E8" s="10">
        <v>0</v>
      </c>
      <c r="F8" s="6">
        <v>0</v>
      </c>
      <c r="G8" s="110">
        <v>0</v>
      </c>
      <c r="H8" s="106">
        <f t="shared" ref="H8:H17" si="0">IF(G8&gt;10,0,1-(G8/100))</f>
        <v>1</v>
      </c>
      <c r="I8" s="111">
        <v>5</v>
      </c>
    </row>
    <row r="9" spans="1:173" ht="32.25" thickBot="1" x14ac:dyDescent="0.3">
      <c r="A9" s="58" t="s">
        <v>18</v>
      </c>
      <c r="B9" s="59" t="s">
        <v>26</v>
      </c>
      <c r="C9" s="60" t="s">
        <v>27</v>
      </c>
      <c r="D9" s="115" t="s">
        <v>28</v>
      </c>
      <c r="E9" s="10">
        <v>0</v>
      </c>
      <c r="F9" s="6">
        <v>0</v>
      </c>
      <c r="G9" s="110">
        <v>0</v>
      </c>
      <c r="H9" s="106">
        <f t="shared" si="0"/>
        <v>1</v>
      </c>
      <c r="I9" s="111">
        <v>5</v>
      </c>
    </row>
    <row r="10" spans="1:173" ht="32.25" thickBot="1" x14ac:dyDescent="0.3">
      <c r="A10" s="58" t="s">
        <v>19</v>
      </c>
      <c r="B10" s="59" t="s">
        <v>29</v>
      </c>
      <c r="C10" s="60" t="s">
        <v>30</v>
      </c>
      <c r="D10" s="115" t="s">
        <v>31</v>
      </c>
      <c r="E10" s="10">
        <v>0</v>
      </c>
      <c r="F10" s="6">
        <v>0</v>
      </c>
      <c r="G10" s="110">
        <v>0</v>
      </c>
      <c r="H10" s="106">
        <f t="shared" si="0"/>
        <v>1</v>
      </c>
      <c r="I10" s="111">
        <v>5</v>
      </c>
    </row>
    <row r="11" spans="1:173" ht="19.5" customHeight="1" thickBot="1" x14ac:dyDescent="0.3">
      <c r="A11" s="58" t="s">
        <v>20</v>
      </c>
      <c r="B11" s="59" t="s">
        <v>32</v>
      </c>
      <c r="C11" s="60" t="s">
        <v>33</v>
      </c>
      <c r="D11" s="115" t="s">
        <v>34</v>
      </c>
      <c r="E11" s="10">
        <v>0</v>
      </c>
      <c r="F11" s="6">
        <v>0</v>
      </c>
      <c r="G11" s="110">
        <v>0</v>
      </c>
      <c r="H11" s="106">
        <f t="shared" si="0"/>
        <v>1</v>
      </c>
      <c r="I11" s="111">
        <v>5</v>
      </c>
    </row>
    <row r="12" spans="1:173" ht="16.5" thickBot="1" x14ac:dyDescent="0.3">
      <c r="A12" s="58" t="s">
        <v>21</v>
      </c>
      <c r="B12" s="59" t="s">
        <v>35</v>
      </c>
      <c r="C12" s="60" t="s">
        <v>36</v>
      </c>
      <c r="D12" s="115" t="s">
        <v>37</v>
      </c>
      <c r="E12" s="10">
        <v>0</v>
      </c>
      <c r="F12" s="6">
        <v>0</v>
      </c>
      <c r="G12" s="110">
        <v>0</v>
      </c>
      <c r="H12" s="106">
        <f t="shared" si="0"/>
        <v>1</v>
      </c>
      <c r="I12" s="111">
        <v>5</v>
      </c>
    </row>
    <row r="13" spans="1:173" ht="16.5" thickBot="1" x14ac:dyDescent="0.3">
      <c r="A13" s="58" t="s">
        <v>22</v>
      </c>
      <c r="B13" s="59" t="s">
        <v>41</v>
      </c>
      <c r="C13" s="60" t="s">
        <v>39</v>
      </c>
      <c r="D13" s="115" t="s">
        <v>40</v>
      </c>
      <c r="E13" s="6">
        <v>164.5</v>
      </c>
      <c r="F13" s="6">
        <v>60741.68</v>
      </c>
      <c r="G13" s="341">
        <v>2.7000000000000001E-3</v>
      </c>
      <c r="H13" s="106">
        <v>0.65</v>
      </c>
      <c r="I13" s="111">
        <v>3.25</v>
      </c>
    </row>
    <row r="14" spans="1:173" ht="16.5" thickBot="1" x14ac:dyDescent="0.3">
      <c r="A14" s="62">
        <v>9</v>
      </c>
      <c r="B14" s="59" t="s">
        <v>42</v>
      </c>
      <c r="C14" s="60" t="s">
        <v>43</v>
      </c>
      <c r="D14" s="115" t="s">
        <v>44</v>
      </c>
      <c r="E14" s="6">
        <v>667.8</v>
      </c>
      <c r="F14" s="6">
        <v>70392.399999999994</v>
      </c>
      <c r="G14" s="340">
        <f t="shared" ref="G14:G18" si="1">E14/F14</f>
        <v>9.4868195998431652E-3</v>
      </c>
      <c r="H14" s="106">
        <v>0</v>
      </c>
      <c r="I14" s="111">
        <v>0</v>
      </c>
    </row>
    <row r="15" spans="1:173" ht="16.5" thickBot="1" x14ac:dyDescent="0.3">
      <c r="A15" s="62">
        <v>10</v>
      </c>
      <c r="B15" s="59" t="s">
        <v>45</v>
      </c>
      <c r="C15" s="60" t="s">
        <v>46</v>
      </c>
      <c r="D15" s="115" t="s">
        <v>47</v>
      </c>
      <c r="E15" s="10">
        <v>0</v>
      </c>
      <c r="F15" s="6">
        <v>0</v>
      </c>
      <c r="G15" s="110">
        <v>0</v>
      </c>
      <c r="H15" s="106">
        <f t="shared" si="0"/>
        <v>1</v>
      </c>
      <c r="I15" s="111">
        <v>5</v>
      </c>
    </row>
    <row r="16" spans="1:173" ht="16.5" thickBot="1" x14ac:dyDescent="0.3">
      <c r="A16" s="62">
        <v>11</v>
      </c>
      <c r="B16" s="59" t="s">
        <v>48</v>
      </c>
      <c r="C16" s="60" t="s">
        <v>49</v>
      </c>
      <c r="D16" s="115" t="s">
        <v>50</v>
      </c>
      <c r="E16" s="10">
        <v>0</v>
      </c>
      <c r="F16" s="6">
        <v>0</v>
      </c>
      <c r="G16" s="110">
        <v>0</v>
      </c>
      <c r="H16" s="106">
        <f t="shared" si="0"/>
        <v>1</v>
      </c>
      <c r="I16" s="111">
        <v>5</v>
      </c>
    </row>
    <row r="17" spans="1:9" ht="35.25" customHeight="1" thickBot="1" x14ac:dyDescent="0.3">
      <c r="A17" s="58" t="s">
        <v>38</v>
      </c>
      <c r="B17" s="59" t="s">
        <v>51</v>
      </c>
      <c r="C17" s="60" t="s">
        <v>52</v>
      </c>
      <c r="D17" s="115" t="s">
        <v>53</v>
      </c>
      <c r="E17" s="10">
        <v>0</v>
      </c>
      <c r="F17" s="6">
        <v>0</v>
      </c>
      <c r="G17" s="110">
        <v>0</v>
      </c>
      <c r="H17" s="106">
        <f t="shared" si="0"/>
        <v>1</v>
      </c>
      <c r="I17" s="111">
        <v>5</v>
      </c>
    </row>
    <row r="18" spans="1:9" s="66" customFormat="1" ht="16.5" thickBot="1" x14ac:dyDescent="0.3">
      <c r="A18" s="63" t="s">
        <v>38</v>
      </c>
      <c r="B18" s="64"/>
      <c r="C18" s="65"/>
      <c r="D18" s="116" t="s">
        <v>59</v>
      </c>
      <c r="E18" s="20">
        <f>E6+E7+E8+E9+E10+E11+E12+E13+E14+E15+E16+E17</f>
        <v>832.3</v>
      </c>
      <c r="F18" s="21">
        <f>F6+F7+F8+F9+F10+F11+F12+F13+F14+F15+F16+F17</f>
        <v>131134.07999999999</v>
      </c>
      <c r="G18" s="110">
        <f t="shared" si="1"/>
        <v>6.3469389498138091E-3</v>
      </c>
      <c r="H18" s="251">
        <v>1</v>
      </c>
      <c r="I18" s="252">
        <v>5</v>
      </c>
    </row>
    <row r="19" spans="1:9" ht="15.6" x14ac:dyDescent="0.3">
      <c r="H19" s="82"/>
    </row>
    <row r="20" spans="1:9" ht="15.6" x14ac:dyDescent="0.3">
      <c r="G20" s="138"/>
    </row>
    <row r="21" spans="1:9" ht="15.6" x14ac:dyDescent="0.3">
      <c r="E21" s="67"/>
    </row>
    <row r="23" spans="1:9" x14ac:dyDescent="0.25">
      <c r="A23" s="386" t="s">
        <v>137</v>
      </c>
      <c r="B23" s="386"/>
      <c r="C23" s="386"/>
      <c r="D23" s="386"/>
      <c r="E23" s="386"/>
      <c r="F23" s="386"/>
    </row>
    <row r="24" spans="1:9" ht="15.6" x14ac:dyDescent="0.3">
      <c r="A24" s="427">
        <v>44287</v>
      </c>
      <c r="B24" s="386"/>
      <c r="C24" s="428"/>
    </row>
    <row r="31" spans="1:9" ht="15.6" x14ac:dyDescent="0.3">
      <c r="E31" s="68"/>
    </row>
    <row r="33" spans="1:4" ht="15.6" x14ac:dyDescent="0.3">
      <c r="A33" s="69"/>
      <c r="B33" s="69"/>
      <c r="D33" s="50"/>
    </row>
  </sheetData>
  <mergeCells count="7">
    <mergeCell ref="A23:F23"/>
    <mergeCell ref="A24:C24"/>
    <mergeCell ref="A1:I1"/>
    <mergeCell ref="E2:F2"/>
    <mergeCell ref="E3:F3"/>
    <mergeCell ref="H3:H5"/>
    <mergeCell ref="I3:I5"/>
  </mergeCells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0"/>
  <sheetViews>
    <sheetView view="pageBreakPreview" zoomScale="60" zoomScaleNormal="100" workbookViewId="0">
      <selection activeCell="K11" sqref="K11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2.42578125" style="17" customWidth="1"/>
    <col min="5" max="5" width="18.85546875" style="17" customWidth="1"/>
    <col min="6" max="6" width="16" style="17" customWidth="1"/>
    <col min="7" max="7" width="19.42578125" style="17" customWidth="1"/>
    <col min="8" max="8" width="12.5703125" style="17" customWidth="1"/>
    <col min="9" max="16384" width="9.140625" style="17"/>
  </cols>
  <sheetData>
    <row r="1" spans="1:172" ht="18.75" customHeight="1" x14ac:dyDescent="0.25">
      <c r="A1" s="441" t="s">
        <v>157</v>
      </c>
      <c r="B1" s="441"/>
      <c r="C1" s="441"/>
      <c r="D1" s="441"/>
      <c r="E1" s="441"/>
      <c r="F1" s="441"/>
      <c r="G1" s="441"/>
      <c r="H1" s="441"/>
    </row>
    <row r="2" spans="1:172" ht="16.5" thickBot="1" x14ac:dyDescent="0.3">
      <c r="D2" s="241" t="s">
        <v>76</v>
      </c>
      <c r="E2" s="242" t="s">
        <v>0</v>
      </c>
    </row>
    <row r="3" spans="1:172" ht="31.5" customHeight="1" thickBot="1" x14ac:dyDescent="0.3">
      <c r="A3" s="71" t="s">
        <v>1</v>
      </c>
      <c r="B3" s="51"/>
      <c r="C3" s="52" t="s">
        <v>2</v>
      </c>
      <c r="D3" s="112" t="s">
        <v>3</v>
      </c>
      <c r="E3" s="243"/>
      <c r="F3" s="107"/>
      <c r="G3" s="424" t="s">
        <v>161</v>
      </c>
      <c r="H3" s="424" t="s">
        <v>58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</row>
    <row r="4" spans="1:172" ht="86.25" customHeight="1" thickBot="1" x14ac:dyDescent="0.3">
      <c r="A4" s="51"/>
      <c r="B4" s="72"/>
      <c r="C4" s="72"/>
      <c r="D4" s="113"/>
      <c r="E4" s="13" t="s">
        <v>158</v>
      </c>
      <c r="F4" s="108" t="s">
        <v>80</v>
      </c>
      <c r="G4" s="446"/>
      <c r="H4" s="42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</row>
    <row r="5" spans="1:172" ht="36.75" customHeight="1" thickBot="1" x14ac:dyDescent="0.3">
      <c r="A5" s="83"/>
      <c r="B5" s="53"/>
      <c r="C5" s="53"/>
      <c r="D5" s="70"/>
      <c r="E5" s="53" t="s">
        <v>159</v>
      </c>
      <c r="F5" s="109" t="s">
        <v>160</v>
      </c>
      <c r="G5" s="447"/>
      <c r="H5" s="425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</row>
    <row r="6" spans="1:172" ht="16.5" thickBot="1" x14ac:dyDescent="0.3">
      <c r="A6" s="84" t="s">
        <v>9</v>
      </c>
      <c r="B6" s="56" t="s">
        <v>10</v>
      </c>
      <c r="C6" s="57" t="s">
        <v>11</v>
      </c>
      <c r="D6" s="114" t="s">
        <v>12</v>
      </c>
      <c r="E6" s="10">
        <v>0</v>
      </c>
      <c r="F6" s="110">
        <f>E6</f>
        <v>0</v>
      </c>
      <c r="G6" s="105">
        <f>IF(F6&gt;10,0,1-(F6/100))</f>
        <v>1</v>
      </c>
      <c r="H6" s="250">
        <v>5</v>
      </c>
    </row>
    <row r="7" spans="1:172" ht="18.75" customHeight="1" thickBot="1" x14ac:dyDescent="0.3">
      <c r="A7" s="58" t="s">
        <v>16</v>
      </c>
      <c r="B7" s="59" t="s">
        <v>13</v>
      </c>
      <c r="C7" s="60" t="s">
        <v>14</v>
      </c>
      <c r="D7" s="115" t="s">
        <v>15</v>
      </c>
      <c r="E7" s="10">
        <v>1</v>
      </c>
      <c r="F7" s="110">
        <f t="shared" ref="F7:F18" si="0">E7</f>
        <v>1</v>
      </c>
      <c r="G7" s="106">
        <v>0</v>
      </c>
      <c r="H7" s="111">
        <f>G7*5</f>
        <v>0</v>
      </c>
    </row>
    <row r="8" spans="1:172" ht="16.5" thickBot="1" x14ac:dyDescent="0.3">
      <c r="A8" s="58" t="s">
        <v>17</v>
      </c>
      <c r="B8" s="59" t="s">
        <v>23</v>
      </c>
      <c r="C8" s="60" t="s">
        <v>24</v>
      </c>
      <c r="D8" s="115" t="s">
        <v>25</v>
      </c>
      <c r="E8" s="10">
        <v>0</v>
      </c>
      <c r="F8" s="110">
        <f t="shared" si="0"/>
        <v>0</v>
      </c>
      <c r="G8" s="106">
        <f t="shared" ref="G8:G17" si="1">IF(F8&gt;10,0,1-(F8/100))</f>
        <v>1</v>
      </c>
      <c r="H8" s="111">
        <v>5</v>
      </c>
    </row>
    <row r="9" spans="1:172" ht="32.25" thickBot="1" x14ac:dyDescent="0.3">
      <c r="A9" s="58" t="s">
        <v>18</v>
      </c>
      <c r="B9" s="59" t="s">
        <v>26</v>
      </c>
      <c r="C9" s="60" t="s">
        <v>27</v>
      </c>
      <c r="D9" s="115" t="s">
        <v>28</v>
      </c>
      <c r="E9" s="10">
        <v>0</v>
      </c>
      <c r="F9" s="110">
        <f t="shared" si="0"/>
        <v>0</v>
      </c>
      <c r="G9" s="106">
        <f t="shared" si="1"/>
        <v>1</v>
      </c>
      <c r="H9" s="111">
        <v>5</v>
      </c>
    </row>
    <row r="10" spans="1:172" ht="32.25" thickBot="1" x14ac:dyDescent="0.3">
      <c r="A10" s="58" t="s">
        <v>19</v>
      </c>
      <c r="B10" s="59" t="s">
        <v>29</v>
      </c>
      <c r="C10" s="60" t="s">
        <v>30</v>
      </c>
      <c r="D10" s="115" t="s">
        <v>31</v>
      </c>
      <c r="E10" s="10">
        <v>0</v>
      </c>
      <c r="F10" s="110">
        <f t="shared" si="0"/>
        <v>0</v>
      </c>
      <c r="G10" s="106">
        <f t="shared" si="1"/>
        <v>1</v>
      </c>
      <c r="H10" s="111">
        <v>5</v>
      </c>
    </row>
    <row r="11" spans="1:172" ht="19.5" customHeight="1" thickBot="1" x14ac:dyDescent="0.3">
      <c r="A11" s="58" t="s">
        <v>20</v>
      </c>
      <c r="B11" s="59" t="s">
        <v>32</v>
      </c>
      <c r="C11" s="60" t="s">
        <v>33</v>
      </c>
      <c r="D11" s="115" t="s">
        <v>34</v>
      </c>
      <c r="E11" s="10">
        <v>0</v>
      </c>
      <c r="F11" s="110">
        <f t="shared" si="0"/>
        <v>0</v>
      </c>
      <c r="G11" s="106">
        <f t="shared" si="1"/>
        <v>1</v>
      </c>
      <c r="H11" s="111">
        <v>5</v>
      </c>
    </row>
    <row r="12" spans="1:172" ht="16.5" thickBot="1" x14ac:dyDescent="0.3">
      <c r="A12" s="58" t="s">
        <v>21</v>
      </c>
      <c r="B12" s="59" t="s">
        <v>35</v>
      </c>
      <c r="C12" s="60" t="s">
        <v>36</v>
      </c>
      <c r="D12" s="115" t="s">
        <v>37</v>
      </c>
      <c r="E12" s="10">
        <v>0</v>
      </c>
      <c r="F12" s="110">
        <f t="shared" si="0"/>
        <v>0</v>
      </c>
      <c r="G12" s="106">
        <f t="shared" si="1"/>
        <v>1</v>
      </c>
      <c r="H12" s="111">
        <v>5</v>
      </c>
    </row>
    <row r="13" spans="1:172" ht="16.5" thickBot="1" x14ac:dyDescent="0.3">
      <c r="A13" s="58" t="s">
        <v>22</v>
      </c>
      <c r="B13" s="59" t="s">
        <v>41</v>
      </c>
      <c r="C13" s="60" t="s">
        <v>39</v>
      </c>
      <c r="D13" s="115" t="s">
        <v>40</v>
      </c>
      <c r="E13" s="10">
        <v>1</v>
      </c>
      <c r="F13" s="110">
        <f t="shared" si="0"/>
        <v>1</v>
      </c>
      <c r="G13" s="106">
        <v>0</v>
      </c>
      <c r="H13" s="111">
        <v>0</v>
      </c>
    </row>
    <row r="14" spans="1:172" ht="16.5" thickBot="1" x14ac:dyDescent="0.3">
      <c r="A14" s="62">
        <v>9</v>
      </c>
      <c r="B14" s="59" t="s">
        <v>42</v>
      </c>
      <c r="C14" s="60" t="s">
        <v>43</v>
      </c>
      <c r="D14" s="115" t="s">
        <v>44</v>
      </c>
      <c r="E14" s="10">
        <v>1</v>
      </c>
      <c r="F14" s="110">
        <f t="shared" si="0"/>
        <v>1</v>
      </c>
      <c r="G14" s="106">
        <v>0</v>
      </c>
      <c r="H14" s="111">
        <v>0</v>
      </c>
    </row>
    <row r="15" spans="1:172" ht="16.5" thickBot="1" x14ac:dyDescent="0.3">
      <c r="A15" s="62">
        <v>10</v>
      </c>
      <c r="B15" s="59" t="s">
        <v>45</v>
      </c>
      <c r="C15" s="60" t="s">
        <v>46</v>
      </c>
      <c r="D15" s="115" t="s">
        <v>47</v>
      </c>
      <c r="E15" s="10">
        <v>1</v>
      </c>
      <c r="F15" s="110">
        <f t="shared" si="0"/>
        <v>1</v>
      </c>
      <c r="G15" s="106">
        <v>0</v>
      </c>
      <c r="H15" s="111">
        <v>0</v>
      </c>
    </row>
    <row r="16" spans="1:172" ht="16.5" thickBot="1" x14ac:dyDescent="0.3">
      <c r="A16" s="62">
        <v>11</v>
      </c>
      <c r="B16" s="59" t="s">
        <v>48</v>
      </c>
      <c r="C16" s="60" t="s">
        <v>49</v>
      </c>
      <c r="D16" s="115" t="s">
        <v>50</v>
      </c>
      <c r="E16" s="10">
        <v>0</v>
      </c>
      <c r="F16" s="110">
        <f t="shared" si="0"/>
        <v>0</v>
      </c>
      <c r="G16" s="106">
        <f t="shared" si="1"/>
        <v>1</v>
      </c>
      <c r="H16" s="111">
        <v>5</v>
      </c>
    </row>
    <row r="17" spans="1:8" ht="35.25" customHeight="1" thickBot="1" x14ac:dyDescent="0.3">
      <c r="A17" s="58" t="s">
        <v>38</v>
      </c>
      <c r="B17" s="59" t="s">
        <v>51</v>
      </c>
      <c r="C17" s="60" t="s">
        <v>52</v>
      </c>
      <c r="D17" s="115" t="s">
        <v>53</v>
      </c>
      <c r="E17" s="10">
        <v>0</v>
      </c>
      <c r="F17" s="110">
        <f t="shared" si="0"/>
        <v>0</v>
      </c>
      <c r="G17" s="106">
        <f t="shared" si="1"/>
        <v>1</v>
      </c>
      <c r="H17" s="111">
        <v>5</v>
      </c>
    </row>
    <row r="18" spans="1:8" s="66" customFormat="1" ht="16.5" thickBot="1" x14ac:dyDescent="0.3">
      <c r="A18" s="63" t="s">
        <v>38</v>
      </c>
      <c r="B18" s="64"/>
      <c r="C18" s="65"/>
      <c r="D18" s="116" t="s">
        <v>59</v>
      </c>
      <c r="E18" s="20">
        <f>E6+E7+E8+E9+E10+E11+E12+E13+E14+E15+E16+E17</f>
        <v>4</v>
      </c>
      <c r="F18" s="110">
        <f t="shared" si="0"/>
        <v>4</v>
      </c>
      <c r="G18" s="251">
        <v>1</v>
      </c>
      <c r="H18" s="252">
        <v>5</v>
      </c>
    </row>
    <row r="20" spans="1:8" x14ac:dyDescent="0.25">
      <c r="A20" s="386" t="s">
        <v>137</v>
      </c>
      <c r="B20" s="386"/>
      <c r="C20" s="386"/>
      <c r="D20" s="386"/>
      <c r="E20" s="386"/>
    </row>
    <row r="21" spans="1:8" ht="15.6" x14ac:dyDescent="0.3">
      <c r="A21" s="427">
        <v>44287</v>
      </c>
      <c r="B21" s="386"/>
      <c r="C21" s="428"/>
    </row>
    <row r="28" spans="1:8" ht="15.6" x14ac:dyDescent="0.3">
      <c r="E28" s="68"/>
    </row>
    <row r="30" spans="1:8" ht="15.6" x14ac:dyDescent="0.3">
      <c r="A30" s="69"/>
      <c r="B30" s="69"/>
      <c r="D30" s="50"/>
    </row>
  </sheetData>
  <mergeCells count="5">
    <mergeCell ref="A21:C21"/>
    <mergeCell ref="A1:H1"/>
    <mergeCell ref="G3:G5"/>
    <mergeCell ref="H3:H5"/>
    <mergeCell ref="A20:E20"/>
  </mergeCells>
  <pageMargins left="0.7" right="0.7" top="0.75" bottom="0.75" header="0.3" footer="0.3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="60" zoomScaleNormal="110" workbookViewId="0">
      <selection activeCell="L15" sqref="L15"/>
    </sheetView>
  </sheetViews>
  <sheetFormatPr defaultColWidth="9.140625" defaultRowHeight="15.75" x14ac:dyDescent="0.25"/>
  <cols>
    <col min="1" max="1" width="3.85546875" style="24" customWidth="1"/>
    <col min="2" max="2" width="5.28515625" style="24" customWidth="1"/>
    <col min="3" max="3" width="14" style="24" customWidth="1"/>
    <col min="4" max="4" width="62.42578125" style="24" customWidth="1"/>
    <col min="5" max="5" width="17.5703125" style="24" customWidth="1"/>
    <col min="6" max="6" width="23.140625" style="24" customWidth="1"/>
    <col min="7" max="7" width="14.7109375" style="17" customWidth="1"/>
    <col min="8" max="8" width="17.5703125" style="17" customWidth="1"/>
    <col min="9" max="9" width="12.140625" style="17" customWidth="1"/>
    <col min="10" max="16384" width="9.140625" style="24"/>
  </cols>
  <sheetData>
    <row r="1" spans="1:9" ht="35.25" customHeight="1" x14ac:dyDescent="0.25">
      <c r="A1" s="453" t="s">
        <v>86</v>
      </c>
      <c r="B1" s="454"/>
      <c r="C1" s="454"/>
      <c r="D1" s="454"/>
      <c r="E1" s="454"/>
      <c r="F1" s="454"/>
      <c r="G1" s="454"/>
      <c r="H1" s="454"/>
      <c r="I1" s="454"/>
    </row>
    <row r="2" spans="1:9" ht="16.5" thickBot="1" x14ac:dyDescent="0.3">
      <c r="D2" s="139" t="s">
        <v>76</v>
      </c>
      <c r="E2" s="38" t="s">
        <v>0</v>
      </c>
      <c r="F2" s="75"/>
    </row>
    <row r="3" spans="1:9" ht="51.75" customHeight="1" x14ac:dyDescent="0.25">
      <c r="A3" s="77" t="s">
        <v>1</v>
      </c>
      <c r="B3" s="78"/>
      <c r="C3" s="78" t="s">
        <v>2</v>
      </c>
      <c r="D3" s="78" t="s">
        <v>3</v>
      </c>
      <c r="E3" s="448" t="s">
        <v>67</v>
      </c>
      <c r="F3" s="472"/>
      <c r="G3" s="449"/>
      <c r="H3" s="79" t="s">
        <v>60</v>
      </c>
      <c r="I3" s="450" t="s">
        <v>58</v>
      </c>
    </row>
    <row r="4" spans="1:9" ht="50.25" customHeight="1" x14ac:dyDescent="0.25">
      <c r="A4" s="80"/>
      <c r="B4" s="76"/>
      <c r="C4" s="76"/>
      <c r="D4" s="76"/>
      <c r="E4" s="76" t="s">
        <v>68</v>
      </c>
      <c r="F4" s="76" t="s">
        <v>70</v>
      </c>
      <c r="G4" s="74" t="s">
        <v>80</v>
      </c>
      <c r="H4" s="74" t="s">
        <v>55</v>
      </c>
      <c r="I4" s="451"/>
    </row>
    <row r="5" spans="1:9" ht="51.75" customHeight="1" thickBot="1" x14ac:dyDescent="0.3">
      <c r="A5" s="159"/>
      <c r="B5" s="160"/>
      <c r="C5" s="160"/>
      <c r="D5" s="160"/>
      <c r="E5" s="160" t="s">
        <v>7</v>
      </c>
      <c r="F5" s="160" t="s">
        <v>69</v>
      </c>
      <c r="G5" s="161" t="s">
        <v>66</v>
      </c>
      <c r="H5" s="162" t="s">
        <v>151</v>
      </c>
      <c r="I5" s="452"/>
    </row>
    <row r="6" spans="1:9" x14ac:dyDescent="0.25">
      <c r="A6" s="153" t="s">
        <v>9</v>
      </c>
      <c r="B6" s="154" t="s">
        <v>10</v>
      </c>
      <c r="C6" s="154" t="s">
        <v>11</v>
      </c>
      <c r="D6" s="155" t="s">
        <v>12</v>
      </c>
      <c r="E6" s="222" t="s">
        <v>105</v>
      </c>
      <c r="F6" s="246" t="s">
        <v>105</v>
      </c>
      <c r="G6" s="157" t="s">
        <v>105</v>
      </c>
      <c r="H6" s="157" t="s">
        <v>71</v>
      </c>
      <c r="I6" s="158">
        <v>5</v>
      </c>
    </row>
    <row r="7" spans="1:9" x14ac:dyDescent="0.25">
      <c r="A7" s="31" t="s">
        <v>16</v>
      </c>
      <c r="B7" s="32" t="s">
        <v>13</v>
      </c>
      <c r="C7" s="32" t="s">
        <v>14</v>
      </c>
      <c r="D7" s="33" t="s">
        <v>15</v>
      </c>
      <c r="E7" s="208">
        <v>8</v>
      </c>
      <c r="F7" s="247">
        <v>8</v>
      </c>
      <c r="G7" s="81">
        <f>(F7/E7)*100</f>
        <v>100</v>
      </c>
      <c r="H7" s="152">
        <f>IF(G7&lt;99,0,1)</f>
        <v>1</v>
      </c>
      <c r="I7" s="11">
        <f>H7*5</f>
        <v>5</v>
      </c>
    </row>
    <row r="8" spans="1:9" x14ac:dyDescent="0.25">
      <c r="A8" s="31" t="s">
        <v>17</v>
      </c>
      <c r="B8" s="32" t="s">
        <v>23</v>
      </c>
      <c r="C8" s="32" t="s">
        <v>24</v>
      </c>
      <c r="D8" s="33" t="s">
        <v>25</v>
      </c>
      <c r="E8" s="208" t="s">
        <v>105</v>
      </c>
      <c r="F8" s="247" t="s">
        <v>105</v>
      </c>
      <c r="G8" s="81" t="s">
        <v>105</v>
      </c>
      <c r="H8" s="2" t="s">
        <v>71</v>
      </c>
      <c r="I8" s="11">
        <v>5</v>
      </c>
    </row>
    <row r="9" spans="1:9" ht="18.75" customHeight="1" x14ac:dyDescent="0.25">
      <c r="A9" s="31" t="s">
        <v>18</v>
      </c>
      <c r="B9" s="32" t="s">
        <v>26</v>
      </c>
      <c r="C9" s="32" t="s">
        <v>27</v>
      </c>
      <c r="D9" s="33" t="s">
        <v>28</v>
      </c>
      <c r="E9" s="208" t="s">
        <v>105</v>
      </c>
      <c r="F9" s="247" t="s">
        <v>105</v>
      </c>
      <c r="G9" s="81" t="s">
        <v>105</v>
      </c>
      <c r="H9" s="2" t="s">
        <v>71</v>
      </c>
      <c r="I9" s="11">
        <v>5</v>
      </c>
    </row>
    <row r="10" spans="1:9" ht="31.5" x14ac:dyDescent="0.25">
      <c r="A10" s="31" t="s">
        <v>19</v>
      </c>
      <c r="B10" s="32" t="s">
        <v>29</v>
      </c>
      <c r="C10" s="32" t="s">
        <v>30</v>
      </c>
      <c r="D10" s="33" t="s">
        <v>31</v>
      </c>
      <c r="E10" s="208" t="s">
        <v>105</v>
      </c>
      <c r="F10" s="247" t="s">
        <v>105</v>
      </c>
      <c r="G10" s="81" t="s">
        <v>105</v>
      </c>
      <c r="H10" s="2" t="s">
        <v>71</v>
      </c>
      <c r="I10" s="11">
        <v>5</v>
      </c>
    </row>
    <row r="11" spans="1:9" ht="18" customHeight="1" x14ac:dyDescent="0.25">
      <c r="A11" s="31" t="s">
        <v>20</v>
      </c>
      <c r="B11" s="32" t="s">
        <v>32</v>
      </c>
      <c r="C11" s="32" t="s">
        <v>33</v>
      </c>
      <c r="D11" s="33" t="s">
        <v>34</v>
      </c>
      <c r="E11" s="208" t="s">
        <v>105</v>
      </c>
      <c r="F11" s="247" t="s">
        <v>105</v>
      </c>
      <c r="G11" s="81" t="s">
        <v>105</v>
      </c>
      <c r="H11" s="2" t="s">
        <v>71</v>
      </c>
      <c r="I11" s="11">
        <v>5</v>
      </c>
    </row>
    <row r="12" spans="1:9" x14ac:dyDescent="0.25">
      <c r="A12" s="31" t="s">
        <v>21</v>
      </c>
      <c r="B12" s="32" t="s">
        <v>35</v>
      </c>
      <c r="C12" s="32" t="s">
        <v>36</v>
      </c>
      <c r="D12" s="33" t="s">
        <v>37</v>
      </c>
      <c r="E12" s="208">
        <v>1</v>
      </c>
      <c r="F12" s="247">
        <v>1</v>
      </c>
      <c r="G12" s="81">
        <f>(F12/E12)*100</f>
        <v>100</v>
      </c>
      <c r="H12" s="152">
        <f t="shared" ref="H12" si="0">IF(G12&lt;99,0,1)</f>
        <v>1</v>
      </c>
      <c r="I12" s="11">
        <f>H12*5</f>
        <v>5</v>
      </c>
    </row>
    <row r="13" spans="1:9" x14ac:dyDescent="0.25">
      <c r="A13" s="31" t="s">
        <v>22</v>
      </c>
      <c r="B13" s="32" t="s">
        <v>41</v>
      </c>
      <c r="C13" s="32" t="s">
        <v>39</v>
      </c>
      <c r="D13" s="33" t="s">
        <v>40</v>
      </c>
      <c r="E13" s="208">
        <v>94</v>
      </c>
      <c r="F13" s="247">
        <v>94</v>
      </c>
      <c r="G13" s="81">
        <f t="shared" ref="G13:G16" si="1">(F13/E13)*100</f>
        <v>100</v>
      </c>
      <c r="H13" s="152">
        <f>IF(G13&lt;99,0,1)</f>
        <v>1</v>
      </c>
      <c r="I13" s="11">
        <f t="shared" ref="I13:I16" si="2">H13*5</f>
        <v>5</v>
      </c>
    </row>
    <row r="14" spans="1:9" x14ac:dyDescent="0.25">
      <c r="A14" s="34">
        <v>9</v>
      </c>
      <c r="B14" s="32" t="s">
        <v>42</v>
      </c>
      <c r="C14" s="32" t="s">
        <v>43</v>
      </c>
      <c r="D14" s="33" t="s">
        <v>44</v>
      </c>
      <c r="E14" s="208">
        <v>7</v>
      </c>
      <c r="F14" s="247">
        <v>7</v>
      </c>
      <c r="G14" s="81">
        <f t="shared" si="1"/>
        <v>100</v>
      </c>
      <c r="H14" s="152">
        <f>IF(G14&lt;99,0,1)</f>
        <v>1</v>
      </c>
      <c r="I14" s="11">
        <f t="shared" si="2"/>
        <v>5</v>
      </c>
    </row>
    <row r="15" spans="1:9" x14ac:dyDescent="0.25">
      <c r="A15" s="34">
        <v>10</v>
      </c>
      <c r="B15" s="32" t="s">
        <v>45</v>
      </c>
      <c r="C15" s="32" t="s">
        <v>46</v>
      </c>
      <c r="D15" s="33" t="s">
        <v>47</v>
      </c>
      <c r="E15" s="208">
        <v>1</v>
      </c>
      <c r="F15" s="247">
        <v>1</v>
      </c>
      <c r="G15" s="81">
        <f t="shared" si="1"/>
        <v>100</v>
      </c>
      <c r="H15" s="152">
        <f>IF(G15&lt;99,0,1)</f>
        <v>1</v>
      </c>
      <c r="I15" s="11">
        <f t="shared" si="2"/>
        <v>5</v>
      </c>
    </row>
    <row r="16" spans="1:9" x14ac:dyDescent="0.25">
      <c r="A16" s="34">
        <v>11</v>
      </c>
      <c r="B16" s="32" t="s">
        <v>48</v>
      </c>
      <c r="C16" s="32" t="s">
        <v>49</v>
      </c>
      <c r="D16" s="33" t="s">
        <v>50</v>
      </c>
      <c r="E16" s="208">
        <v>2</v>
      </c>
      <c r="F16" s="247">
        <v>2</v>
      </c>
      <c r="G16" s="81">
        <f t="shared" si="1"/>
        <v>100</v>
      </c>
      <c r="H16" s="152">
        <f>IF(G16&lt;99,0,1)</f>
        <v>1</v>
      </c>
      <c r="I16" s="11">
        <f t="shared" si="2"/>
        <v>5</v>
      </c>
    </row>
    <row r="17" spans="1:9" ht="18" customHeight="1" x14ac:dyDescent="0.25">
      <c r="A17" s="31" t="s">
        <v>38</v>
      </c>
      <c r="B17" s="32" t="s">
        <v>51</v>
      </c>
      <c r="C17" s="32" t="s">
        <v>52</v>
      </c>
      <c r="D17" s="33" t="s">
        <v>53</v>
      </c>
      <c r="E17" s="208" t="s">
        <v>105</v>
      </c>
      <c r="F17" s="247" t="s">
        <v>105</v>
      </c>
      <c r="G17" s="81" t="s">
        <v>105</v>
      </c>
      <c r="H17" s="2" t="s">
        <v>71</v>
      </c>
      <c r="I17" s="11">
        <v>5</v>
      </c>
    </row>
    <row r="18" spans="1:9" s="38" customFormat="1" ht="16.5" thickBot="1" x14ac:dyDescent="0.3">
      <c r="A18" s="35"/>
      <c r="B18" s="36"/>
      <c r="C18" s="36"/>
      <c r="D18" s="37" t="s">
        <v>59</v>
      </c>
      <c r="E18" s="245">
        <f>E7+E12+E13+E14+E15+E16</f>
        <v>113</v>
      </c>
      <c r="F18" s="244">
        <f>F7+F12+F13+F14+F15+F16</f>
        <v>113</v>
      </c>
      <c r="G18" s="21">
        <f>SUM(G6:G17)</f>
        <v>600</v>
      </c>
      <c r="H18" s="22"/>
      <c r="I18" s="23">
        <f>SUM(I6:I17)/12</f>
        <v>5</v>
      </c>
    </row>
    <row r="19" spans="1:9" ht="31.9" customHeight="1" x14ac:dyDescent="0.25">
      <c r="A19" s="15"/>
      <c r="B19" s="473" t="s">
        <v>203</v>
      </c>
      <c r="C19" s="473"/>
      <c r="D19" s="473"/>
      <c r="E19" s="473"/>
      <c r="F19" s="473"/>
      <c r="G19" s="473"/>
      <c r="H19" s="473"/>
      <c r="I19" s="473"/>
    </row>
    <row r="20" spans="1:9" ht="15.6" x14ac:dyDescent="0.3">
      <c r="A20" s="15"/>
      <c r="B20" s="15"/>
      <c r="C20" s="15"/>
      <c r="D20" s="15"/>
      <c r="E20" s="15"/>
      <c r="F20" s="16"/>
      <c r="G20" s="18"/>
    </row>
    <row r="21" spans="1:9" ht="15.6" x14ac:dyDescent="0.3">
      <c r="A21" s="15"/>
      <c r="B21" s="15"/>
      <c r="C21" s="15"/>
      <c r="D21" s="15"/>
      <c r="E21" s="15"/>
      <c r="F21" s="39"/>
    </row>
    <row r="22" spans="1:9" s="17" customFormat="1" x14ac:dyDescent="0.25">
      <c r="A22" s="386" t="s">
        <v>91</v>
      </c>
      <c r="B22" s="386"/>
      <c r="C22" s="386"/>
      <c r="D22" s="386"/>
      <c r="E22" s="386"/>
      <c r="F22" s="386"/>
      <c r="G22" s="386"/>
      <c r="H22" s="386"/>
      <c r="I22" s="386"/>
    </row>
    <row r="23" spans="1:9" s="17" customFormat="1" ht="15.6" x14ac:dyDescent="0.3">
      <c r="A23" s="376">
        <v>44287</v>
      </c>
      <c r="B23" s="377"/>
      <c r="C23" s="378"/>
    </row>
  </sheetData>
  <mergeCells count="6">
    <mergeCell ref="E3:G3"/>
    <mergeCell ref="I3:I5"/>
    <mergeCell ref="A1:I1"/>
    <mergeCell ref="A22:I22"/>
    <mergeCell ref="A23:C23"/>
    <mergeCell ref="B19:I19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0"/>
  <sheetViews>
    <sheetView view="pageBreakPreview" zoomScale="60" zoomScaleNormal="100" workbookViewId="0">
      <selection activeCell="N6" sqref="N6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2.42578125" style="17" customWidth="1"/>
    <col min="5" max="5" width="26.7109375" style="17" customWidth="1"/>
    <col min="6" max="6" width="12" style="17" customWidth="1"/>
    <col min="7" max="7" width="19.42578125" style="17" customWidth="1"/>
    <col min="8" max="8" width="12.5703125" style="17" customWidth="1"/>
    <col min="9" max="16384" width="9.140625" style="17"/>
  </cols>
  <sheetData>
    <row r="1" spans="1:172" ht="18.75" customHeight="1" x14ac:dyDescent="0.25">
      <c r="A1" s="441" t="s">
        <v>207</v>
      </c>
      <c r="B1" s="441"/>
      <c r="C1" s="441"/>
      <c r="D1" s="441"/>
      <c r="E1" s="441"/>
      <c r="F1" s="441"/>
      <c r="G1" s="441"/>
      <c r="H1" s="441"/>
    </row>
    <row r="2" spans="1:172" ht="16.5" thickBot="1" x14ac:dyDescent="0.3">
      <c r="D2" s="296" t="s">
        <v>76</v>
      </c>
      <c r="E2" s="297" t="s">
        <v>0</v>
      </c>
    </row>
    <row r="3" spans="1:172" ht="31.5" customHeight="1" thickBot="1" x14ac:dyDescent="0.3">
      <c r="A3" s="71" t="s">
        <v>1</v>
      </c>
      <c r="B3" s="51"/>
      <c r="C3" s="52" t="s">
        <v>2</v>
      </c>
      <c r="D3" s="112" t="s">
        <v>3</v>
      </c>
      <c r="E3" s="298"/>
      <c r="F3" s="107"/>
      <c r="G3" s="424" t="s">
        <v>210</v>
      </c>
      <c r="H3" s="424" t="s">
        <v>58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</row>
    <row r="4" spans="1:172" ht="165" customHeight="1" thickBot="1" x14ac:dyDescent="0.3">
      <c r="A4" s="51"/>
      <c r="B4" s="72"/>
      <c r="C4" s="72"/>
      <c r="D4" s="113"/>
      <c r="E4" s="13" t="s">
        <v>208</v>
      </c>
      <c r="F4" s="108" t="s">
        <v>80</v>
      </c>
      <c r="G4" s="446"/>
      <c r="H4" s="42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</row>
    <row r="5" spans="1:172" ht="36.75" customHeight="1" thickBot="1" x14ac:dyDescent="0.3">
      <c r="A5" s="83"/>
      <c r="B5" s="53"/>
      <c r="C5" s="53"/>
      <c r="D5" s="70"/>
      <c r="E5" s="53" t="s">
        <v>209</v>
      </c>
      <c r="F5" s="109" t="s">
        <v>160</v>
      </c>
      <c r="G5" s="447"/>
      <c r="H5" s="425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</row>
    <row r="6" spans="1:172" ht="16.5" thickBot="1" x14ac:dyDescent="0.3">
      <c r="A6" s="84" t="s">
        <v>9</v>
      </c>
      <c r="B6" s="56" t="s">
        <v>10</v>
      </c>
      <c r="C6" s="57" t="s">
        <v>11</v>
      </c>
      <c r="D6" s="114" t="s">
        <v>12</v>
      </c>
      <c r="E6" s="10">
        <v>0</v>
      </c>
      <c r="F6" s="110">
        <f>E6</f>
        <v>0</v>
      </c>
      <c r="G6" s="105">
        <f>IF(F6&gt;10,0,1-(F6/100))</f>
        <v>1</v>
      </c>
      <c r="H6" s="250">
        <v>5</v>
      </c>
    </row>
    <row r="7" spans="1:172" ht="18.75" customHeight="1" thickBot="1" x14ac:dyDescent="0.3">
      <c r="A7" s="58" t="s">
        <v>16</v>
      </c>
      <c r="B7" s="59" t="s">
        <v>13</v>
      </c>
      <c r="C7" s="60" t="s">
        <v>14</v>
      </c>
      <c r="D7" s="115" t="s">
        <v>15</v>
      </c>
      <c r="E7" s="10">
        <v>0</v>
      </c>
      <c r="F7" s="110">
        <f t="shared" ref="F7:F18" si="0">E7</f>
        <v>0</v>
      </c>
      <c r="G7" s="106">
        <f>IF(F7&gt;10,0,1-(F7/100))</f>
        <v>1</v>
      </c>
      <c r="H7" s="111">
        <f>G7*5</f>
        <v>5</v>
      </c>
    </row>
    <row r="8" spans="1:172" ht="16.5" thickBot="1" x14ac:dyDescent="0.3">
      <c r="A8" s="58" t="s">
        <v>17</v>
      </c>
      <c r="B8" s="59" t="s">
        <v>23</v>
      </c>
      <c r="C8" s="60" t="s">
        <v>24</v>
      </c>
      <c r="D8" s="115" t="s">
        <v>25</v>
      </c>
      <c r="E8" s="10">
        <v>0</v>
      </c>
      <c r="F8" s="110">
        <f t="shared" si="0"/>
        <v>0</v>
      </c>
      <c r="G8" s="106">
        <f t="shared" ref="G8:G17" si="1">IF(F8&gt;10,0,1-(F8/100))</f>
        <v>1</v>
      </c>
      <c r="H8" s="111">
        <v>5</v>
      </c>
    </row>
    <row r="9" spans="1:172" ht="32.25" thickBot="1" x14ac:dyDescent="0.3">
      <c r="A9" s="58" t="s">
        <v>18</v>
      </c>
      <c r="B9" s="59" t="s">
        <v>26</v>
      </c>
      <c r="C9" s="60" t="s">
        <v>27</v>
      </c>
      <c r="D9" s="115" t="s">
        <v>28</v>
      </c>
      <c r="E9" s="10">
        <v>0</v>
      </c>
      <c r="F9" s="110">
        <f t="shared" si="0"/>
        <v>0</v>
      </c>
      <c r="G9" s="106">
        <f t="shared" si="1"/>
        <v>1</v>
      </c>
      <c r="H9" s="111">
        <v>5</v>
      </c>
    </row>
    <row r="10" spans="1:172" ht="32.25" thickBot="1" x14ac:dyDescent="0.3">
      <c r="A10" s="58" t="s">
        <v>19</v>
      </c>
      <c r="B10" s="59" t="s">
        <v>29</v>
      </c>
      <c r="C10" s="60" t="s">
        <v>30</v>
      </c>
      <c r="D10" s="115" t="s">
        <v>31</v>
      </c>
      <c r="E10" s="10">
        <v>0</v>
      </c>
      <c r="F10" s="110">
        <f t="shared" si="0"/>
        <v>0</v>
      </c>
      <c r="G10" s="106">
        <f t="shared" si="1"/>
        <v>1</v>
      </c>
      <c r="H10" s="111">
        <v>5</v>
      </c>
    </row>
    <row r="11" spans="1:172" ht="19.5" customHeight="1" thickBot="1" x14ac:dyDescent="0.3">
      <c r="A11" s="58" t="s">
        <v>20</v>
      </c>
      <c r="B11" s="59" t="s">
        <v>32</v>
      </c>
      <c r="C11" s="60" t="s">
        <v>33</v>
      </c>
      <c r="D11" s="115" t="s">
        <v>34</v>
      </c>
      <c r="E11" s="10">
        <v>0</v>
      </c>
      <c r="F11" s="110">
        <f t="shared" si="0"/>
        <v>0</v>
      </c>
      <c r="G11" s="106">
        <f t="shared" si="1"/>
        <v>1</v>
      </c>
      <c r="H11" s="111">
        <v>5</v>
      </c>
    </row>
    <row r="12" spans="1:172" ht="16.5" thickBot="1" x14ac:dyDescent="0.3">
      <c r="A12" s="58" t="s">
        <v>21</v>
      </c>
      <c r="B12" s="59" t="s">
        <v>35</v>
      </c>
      <c r="C12" s="60" t="s">
        <v>36</v>
      </c>
      <c r="D12" s="115" t="s">
        <v>37</v>
      </c>
      <c r="E12" s="10">
        <v>0</v>
      </c>
      <c r="F12" s="110">
        <f t="shared" si="0"/>
        <v>0</v>
      </c>
      <c r="G12" s="106">
        <f t="shared" si="1"/>
        <v>1</v>
      </c>
      <c r="H12" s="111">
        <v>5</v>
      </c>
    </row>
    <row r="13" spans="1:172" ht="16.5" thickBot="1" x14ac:dyDescent="0.3">
      <c r="A13" s="58" t="s">
        <v>22</v>
      </c>
      <c r="B13" s="59" t="s">
        <v>41</v>
      </c>
      <c r="C13" s="60" t="s">
        <v>39</v>
      </c>
      <c r="D13" s="115" t="s">
        <v>40</v>
      </c>
      <c r="E13" s="10">
        <v>0</v>
      </c>
      <c r="F13" s="110">
        <f t="shared" si="0"/>
        <v>0</v>
      </c>
      <c r="G13" s="106">
        <f t="shared" si="1"/>
        <v>1</v>
      </c>
      <c r="H13" s="111">
        <v>5</v>
      </c>
    </row>
    <row r="14" spans="1:172" ht="16.5" thickBot="1" x14ac:dyDescent="0.3">
      <c r="A14" s="62">
        <v>9</v>
      </c>
      <c r="B14" s="59" t="s">
        <v>42</v>
      </c>
      <c r="C14" s="60" t="s">
        <v>43</v>
      </c>
      <c r="D14" s="115" t="s">
        <v>44</v>
      </c>
      <c r="E14" s="10">
        <v>0</v>
      </c>
      <c r="F14" s="110">
        <f t="shared" si="0"/>
        <v>0</v>
      </c>
      <c r="G14" s="106">
        <f t="shared" si="1"/>
        <v>1</v>
      </c>
      <c r="H14" s="111">
        <v>5</v>
      </c>
    </row>
    <row r="15" spans="1:172" ht="16.5" thickBot="1" x14ac:dyDescent="0.3">
      <c r="A15" s="62">
        <v>10</v>
      </c>
      <c r="B15" s="59" t="s">
        <v>45</v>
      </c>
      <c r="C15" s="60" t="s">
        <v>46</v>
      </c>
      <c r="D15" s="115" t="s">
        <v>47</v>
      </c>
      <c r="E15" s="10">
        <v>0</v>
      </c>
      <c r="F15" s="110">
        <f t="shared" si="0"/>
        <v>0</v>
      </c>
      <c r="G15" s="106">
        <f t="shared" si="1"/>
        <v>1</v>
      </c>
      <c r="H15" s="111">
        <v>5</v>
      </c>
    </row>
    <row r="16" spans="1:172" ht="16.5" thickBot="1" x14ac:dyDescent="0.3">
      <c r="A16" s="62">
        <v>11</v>
      </c>
      <c r="B16" s="59" t="s">
        <v>48</v>
      </c>
      <c r="C16" s="60" t="s">
        <v>49</v>
      </c>
      <c r="D16" s="115" t="s">
        <v>50</v>
      </c>
      <c r="E16" s="10">
        <v>0</v>
      </c>
      <c r="F16" s="110">
        <f t="shared" si="0"/>
        <v>0</v>
      </c>
      <c r="G16" s="106">
        <f t="shared" si="1"/>
        <v>1</v>
      </c>
      <c r="H16" s="111">
        <v>5</v>
      </c>
    </row>
    <row r="17" spans="1:8" ht="35.25" customHeight="1" thickBot="1" x14ac:dyDescent="0.3">
      <c r="A17" s="58" t="s">
        <v>38</v>
      </c>
      <c r="B17" s="59" t="s">
        <v>51</v>
      </c>
      <c r="C17" s="60" t="s">
        <v>52</v>
      </c>
      <c r="D17" s="115" t="s">
        <v>53</v>
      </c>
      <c r="E17" s="10">
        <v>0</v>
      </c>
      <c r="F17" s="110">
        <f t="shared" si="0"/>
        <v>0</v>
      </c>
      <c r="G17" s="106">
        <f t="shared" si="1"/>
        <v>1</v>
      </c>
      <c r="H17" s="111">
        <v>5</v>
      </c>
    </row>
    <row r="18" spans="1:8" s="66" customFormat="1" ht="16.5" thickBot="1" x14ac:dyDescent="0.3">
      <c r="A18" s="63" t="s">
        <v>38</v>
      </c>
      <c r="B18" s="64"/>
      <c r="C18" s="65"/>
      <c r="D18" s="116" t="s">
        <v>59</v>
      </c>
      <c r="E18" s="20">
        <f>E6+E7+E8+E9+E10+E11+E12+E13+E14+E15+E16+E17</f>
        <v>0</v>
      </c>
      <c r="F18" s="110">
        <f t="shared" si="0"/>
        <v>0</v>
      </c>
      <c r="G18" s="251">
        <v>1</v>
      </c>
      <c r="H18" s="252">
        <v>5</v>
      </c>
    </row>
    <row r="19" spans="1:8" ht="15.6" x14ac:dyDescent="0.3">
      <c r="G19" s="82"/>
    </row>
    <row r="20" spans="1:8" x14ac:dyDescent="0.25">
      <c r="A20" s="386" t="s">
        <v>137</v>
      </c>
      <c r="B20" s="386"/>
      <c r="C20" s="386"/>
      <c r="D20" s="386"/>
      <c r="E20" s="386"/>
    </row>
    <row r="21" spans="1:8" ht="15.6" x14ac:dyDescent="0.3">
      <c r="A21" s="427">
        <v>44295</v>
      </c>
      <c r="B21" s="386"/>
      <c r="C21" s="428"/>
    </row>
    <row r="28" spans="1:8" ht="15.6" x14ac:dyDescent="0.3">
      <c r="E28" s="68"/>
    </row>
    <row r="30" spans="1:8" ht="15.6" x14ac:dyDescent="0.3">
      <c r="A30" s="69"/>
      <c r="B30" s="69"/>
      <c r="D30" s="50"/>
    </row>
  </sheetData>
  <mergeCells count="5">
    <mergeCell ref="A1:H1"/>
    <mergeCell ref="G3:G5"/>
    <mergeCell ref="H3:H5"/>
    <mergeCell ref="A20:E20"/>
    <mergeCell ref="A21:C21"/>
  </mergeCells>
  <pageMargins left="0.7" right="0.7" top="0.75" bottom="0.75" header="0.3" footer="0.3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tabSelected="1" view="pageBreakPreview" zoomScale="60" zoomScaleNormal="110" workbookViewId="0">
      <selection activeCell="AN22" sqref="AN22"/>
    </sheetView>
  </sheetViews>
  <sheetFormatPr defaultColWidth="9.140625" defaultRowHeight="15.75" x14ac:dyDescent="0.25"/>
  <cols>
    <col min="1" max="1" width="3.85546875" style="24" customWidth="1"/>
    <col min="2" max="2" width="5.28515625" style="24" customWidth="1"/>
    <col min="3" max="3" width="14" style="24" customWidth="1"/>
    <col min="4" max="4" width="35.42578125" style="24" customWidth="1"/>
    <col min="5" max="5" width="5.28515625" style="24" customWidth="1"/>
    <col min="6" max="6" width="5" style="24" customWidth="1"/>
    <col min="7" max="7" width="5.28515625" style="17" customWidth="1"/>
    <col min="8" max="8" width="5.5703125" style="17" customWidth="1"/>
    <col min="9" max="9" width="5.7109375" style="17" customWidth="1"/>
    <col min="10" max="10" width="5.28515625" style="17" customWidth="1"/>
    <col min="11" max="11" width="6" style="17" customWidth="1"/>
    <col min="12" max="12" width="5.140625" style="17" customWidth="1"/>
    <col min="13" max="14" width="6.140625" style="17" customWidth="1"/>
    <col min="15" max="15" width="5.140625" style="17" customWidth="1"/>
    <col min="16" max="16" width="5.5703125" style="17" customWidth="1"/>
    <col min="17" max="18" width="5" style="17" customWidth="1"/>
    <col min="19" max="19" width="4.85546875" style="17" customWidth="1"/>
    <col min="20" max="20" width="6.140625" style="17" customWidth="1"/>
    <col min="21" max="21" width="4.5703125" style="17" customWidth="1"/>
    <col min="22" max="22" width="17.5703125" style="17" customWidth="1"/>
    <col min="23" max="23" width="12.140625" style="17" customWidth="1"/>
    <col min="24" max="24" width="6.28515625" style="24" customWidth="1"/>
    <col min="25" max="25" width="6.7109375" style="24" customWidth="1"/>
    <col min="26" max="26" width="6.85546875" style="24" customWidth="1"/>
    <col min="27" max="27" width="6.28515625" style="24" customWidth="1"/>
    <col min="28" max="28" width="7.28515625" style="24" customWidth="1"/>
    <col min="29" max="29" width="6.5703125" style="24" customWidth="1"/>
    <col min="30" max="31" width="6" style="24" customWidth="1"/>
    <col min="32" max="32" width="7.28515625" style="24" customWidth="1"/>
    <col min="33" max="33" width="6.28515625" style="24" customWidth="1"/>
    <col min="34" max="34" width="6.140625" style="24" customWidth="1"/>
    <col min="35" max="35" width="6.28515625" style="24" customWidth="1"/>
    <col min="36" max="36" width="6.7109375" style="24" customWidth="1"/>
    <col min="37" max="37" width="6.5703125" style="24" customWidth="1"/>
    <col min="38" max="38" width="5.42578125" style="24" customWidth="1"/>
    <col min="39" max="39" width="7.140625" style="24" customWidth="1"/>
    <col min="40" max="40" width="6.140625" style="24" customWidth="1"/>
    <col min="41" max="16384" width="9.140625" style="24"/>
  </cols>
  <sheetData>
    <row r="1" spans="1:48" ht="25.15" customHeight="1" x14ac:dyDescent="0.25">
      <c r="A1" s="453" t="s">
        <v>220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</row>
    <row r="2" spans="1:48" ht="22.15" customHeight="1" thickBot="1" x14ac:dyDescent="0.3">
      <c r="A2" s="491" t="s">
        <v>221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</row>
    <row r="3" spans="1:48" ht="51.75" customHeight="1" thickBot="1" x14ac:dyDescent="0.3">
      <c r="A3" s="478" t="s">
        <v>1</v>
      </c>
      <c r="B3" s="480" t="s">
        <v>116</v>
      </c>
      <c r="C3" s="480" t="s">
        <v>2</v>
      </c>
      <c r="D3" s="482" t="s">
        <v>182</v>
      </c>
      <c r="E3" s="484" t="s">
        <v>184</v>
      </c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74" t="s">
        <v>183</v>
      </c>
      <c r="W3" s="474" t="s">
        <v>202</v>
      </c>
    </row>
    <row r="4" spans="1:48" ht="25.9" customHeight="1" thickBot="1" x14ac:dyDescent="0.3">
      <c r="A4" s="479"/>
      <c r="B4" s="481"/>
      <c r="C4" s="481"/>
      <c r="D4" s="483"/>
      <c r="E4" s="351" t="s">
        <v>185</v>
      </c>
      <c r="F4" s="352" t="s">
        <v>186</v>
      </c>
      <c r="G4" s="352" t="s">
        <v>187</v>
      </c>
      <c r="H4" s="352" t="s">
        <v>188</v>
      </c>
      <c r="I4" s="352" t="s">
        <v>189</v>
      </c>
      <c r="J4" s="352" t="s">
        <v>190</v>
      </c>
      <c r="K4" s="352" t="s">
        <v>191</v>
      </c>
      <c r="L4" s="352" t="s">
        <v>192</v>
      </c>
      <c r="M4" s="352" t="s">
        <v>193</v>
      </c>
      <c r="N4" s="352" t="s">
        <v>194</v>
      </c>
      <c r="O4" s="352" t="s">
        <v>195</v>
      </c>
      <c r="P4" s="352" t="s">
        <v>196</v>
      </c>
      <c r="Q4" s="352" t="s">
        <v>197</v>
      </c>
      <c r="R4" s="352" t="s">
        <v>198</v>
      </c>
      <c r="S4" s="493" t="s">
        <v>199</v>
      </c>
      <c r="T4" s="352" t="s">
        <v>200</v>
      </c>
      <c r="U4" s="353" t="s">
        <v>201</v>
      </c>
      <c r="V4" s="475"/>
      <c r="W4" s="476"/>
      <c r="X4" s="302" t="s">
        <v>185</v>
      </c>
      <c r="Y4" s="302" t="s">
        <v>186</v>
      </c>
      <c r="Z4" s="302" t="s">
        <v>187</v>
      </c>
      <c r="AA4" s="302" t="s">
        <v>188</v>
      </c>
      <c r="AB4" s="302" t="s">
        <v>189</v>
      </c>
      <c r="AC4" s="302" t="s">
        <v>190</v>
      </c>
      <c r="AD4" s="302" t="s">
        <v>191</v>
      </c>
      <c r="AE4" s="302" t="s">
        <v>192</v>
      </c>
      <c r="AF4" s="302" t="s">
        <v>193</v>
      </c>
      <c r="AG4" s="302" t="s">
        <v>194</v>
      </c>
      <c r="AH4" s="302" t="s">
        <v>195</v>
      </c>
      <c r="AI4" s="302" t="s">
        <v>196</v>
      </c>
      <c r="AJ4" s="302" t="s">
        <v>197</v>
      </c>
      <c r="AK4" s="302" t="s">
        <v>198</v>
      </c>
      <c r="AL4" s="302" t="s">
        <v>199</v>
      </c>
      <c r="AM4" s="302" t="s">
        <v>200</v>
      </c>
      <c r="AN4" s="302" t="s">
        <v>201</v>
      </c>
      <c r="AO4" s="24">
        <v>1</v>
      </c>
      <c r="AQ4" s="24">
        <v>2</v>
      </c>
      <c r="AS4" s="24">
        <v>3</v>
      </c>
      <c r="AU4" s="24">
        <v>4</v>
      </c>
      <c r="AV4" s="24">
        <v>5</v>
      </c>
    </row>
    <row r="5" spans="1:48" ht="32.450000000000003" customHeight="1" x14ac:dyDescent="0.25">
      <c r="A5" s="154" t="s">
        <v>9</v>
      </c>
      <c r="B5" s="154" t="s">
        <v>10</v>
      </c>
      <c r="C5" s="154" t="s">
        <v>11</v>
      </c>
      <c r="D5" s="155" t="s">
        <v>12</v>
      </c>
      <c r="E5" s="256">
        <f>'1.1 Кач. планирования расходов'!I7</f>
        <v>9.9980227776020243</v>
      </c>
      <c r="F5" s="266">
        <f>'1.2. Качество исполнения КП'!AQ7</f>
        <v>4.3340785134104181</v>
      </c>
      <c r="G5" s="267">
        <f>'1.3. Доля неиспользованых БА'!I7</f>
        <v>5</v>
      </c>
      <c r="H5" s="267">
        <f>'1.4 Своевременность принятия БО'!I6</f>
        <v>5</v>
      </c>
      <c r="I5" s="267">
        <f>'1.5 Несоотв. расч-плат док'!I6</f>
        <v>0</v>
      </c>
      <c r="J5" s="267">
        <f>'1.6 Доля отклоненных ПГЗ'!I6</f>
        <v>5</v>
      </c>
      <c r="K5" s="267">
        <f>'1.7. Эффективность исп. МТ '!I5</f>
        <v>5</v>
      </c>
      <c r="L5" s="267">
        <f>'1.8. Эффект.управл. КЗ'!L6</f>
        <v>5</v>
      </c>
      <c r="M5" s="267">
        <f>'1.9. Налчие просроч.КЗ'!G6</f>
        <v>10</v>
      </c>
      <c r="N5" s="267">
        <f>'1.10 Приостановление операций'!H6</f>
        <v>5</v>
      </c>
      <c r="O5" s="267">
        <f>'2.1. Кач-во пл.пост.налог+ненал'!I5</f>
        <v>5</v>
      </c>
      <c r="P5" s="267">
        <f>'2.2. Качество администр. ост.'!I7</f>
        <v>5</v>
      </c>
      <c r="Q5" s="267">
        <f>'2.3 Кач-во управ. просроч.ДЗ'!I7</f>
        <v>5</v>
      </c>
      <c r="R5" s="267">
        <f>'3.1 Степень достовер.отчет'!I6</f>
        <v>5</v>
      </c>
      <c r="S5" s="267">
        <f>'3.2 Нарушение треб. к бюдж.уч.'!H6</f>
        <v>5</v>
      </c>
      <c r="T5" s="267">
        <f>'4 Наличие на сайте ГМУ'!I6</f>
        <v>5</v>
      </c>
      <c r="U5" s="267">
        <f>'5 Управление активами'!H6</f>
        <v>5</v>
      </c>
      <c r="V5" s="157">
        <f>SUM(E5:U5)</f>
        <v>89.332101291012435</v>
      </c>
      <c r="W5" s="334">
        <v>5</v>
      </c>
      <c r="X5" s="301">
        <f>10-E5</f>
        <v>1.9772223979757086E-3</v>
      </c>
      <c r="Y5" s="303">
        <f>5-F5</f>
        <v>0.66592148658958195</v>
      </c>
      <c r="Z5" s="301">
        <f t="shared" ref="Y5:AE5" si="0">5-G5</f>
        <v>0</v>
      </c>
      <c r="AA5" s="301">
        <f t="shared" si="0"/>
        <v>0</v>
      </c>
      <c r="AB5" s="303">
        <f t="shared" si="0"/>
        <v>5</v>
      </c>
      <c r="AC5" s="301">
        <f t="shared" si="0"/>
        <v>0</v>
      </c>
      <c r="AD5" s="301">
        <f t="shared" si="0"/>
        <v>0</v>
      </c>
      <c r="AE5" s="301">
        <f t="shared" si="0"/>
        <v>0</v>
      </c>
      <c r="AF5" s="301">
        <f>10-M5</f>
        <v>0</v>
      </c>
      <c r="AG5" s="301">
        <f t="shared" ref="AG5:AN5" si="1">5-N5</f>
        <v>0</v>
      </c>
      <c r="AH5" s="301">
        <f t="shared" si="1"/>
        <v>0</v>
      </c>
      <c r="AI5" s="301">
        <f t="shared" si="1"/>
        <v>0</v>
      </c>
      <c r="AJ5" s="301">
        <f t="shared" si="1"/>
        <v>0</v>
      </c>
      <c r="AK5" s="301">
        <f t="shared" si="1"/>
        <v>0</v>
      </c>
      <c r="AL5" s="301">
        <f t="shared" si="1"/>
        <v>0</v>
      </c>
      <c r="AM5" s="301">
        <f t="shared" si="1"/>
        <v>0</v>
      </c>
      <c r="AN5" s="301">
        <f t="shared" si="1"/>
        <v>0</v>
      </c>
      <c r="AO5" s="301">
        <f>SUM(X5:AG5)</f>
        <v>5.6678987089875577</v>
      </c>
      <c r="AP5" s="24">
        <f>AO5/60*100</f>
        <v>9.4464978483125961</v>
      </c>
      <c r="AQ5" s="301">
        <f>SUM(AH5:AJ5)</f>
        <v>0</v>
      </c>
      <c r="AR5" s="24">
        <f>AQ5/15*100</f>
        <v>0</v>
      </c>
      <c r="AS5" s="301">
        <f>AK5+AL5</f>
        <v>0</v>
      </c>
      <c r="AT5" s="24">
        <f>AS5/10*100</f>
        <v>0</v>
      </c>
      <c r="AU5" s="24">
        <f>AM5/5*100</f>
        <v>0</v>
      </c>
      <c r="AV5" s="24">
        <f>AN5/5*100</f>
        <v>0</v>
      </c>
    </row>
    <row r="6" spans="1:48" ht="31.5" x14ac:dyDescent="0.25">
      <c r="A6" s="31" t="s">
        <v>16</v>
      </c>
      <c r="B6" s="32" t="s">
        <v>13</v>
      </c>
      <c r="C6" s="32" t="s">
        <v>14</v>
      </c>
      <c r="D6" s="33" t="s">
        <v>15</v>
      </c>
      <c r="E6" s="208">
        <f>'1.1 Кач. планирования расходов'!I8</f>
        <v>9.5699554977655925</v>
      </c>
      <c r="F6" s="265">
        <f>'1.2. Качество исполнения КП'!AQ8</f>
        <v>4.2702337711156977</v>
      </c>
      <c r="G6" s="198">
        <f>'1.3. Доля неиспользованых БА'!I8</f>
        <v>3.1614027765014283</v>
      </c>
      <c r="H6" s="198">
        <f>'1.4 Своевременность принятия БО'!I7</f>
        <v>5</v>
      </c>
      <c r="I6" s="198">
        <f>'1.5 Несоотв. расч-плат док'!I7</f>
        <v>4.8419478855190086</v>
      </c>
      <c r="J6" s="267">
        <f>'1.6 Доля отклоненных ПГЗ'!I7</f>
        <v>0</v>
      </c>
      <c r="K6" s="267">
        <f>'1.7. Эффективность исп. МТ '!I6</f>
        <v>5</v>
      </c>
      <c r="L6" s="267">
        <f>'1.8. Эффект.управл. КЗ'!L7</f>
        <v>4.926500116128941</v>
      </c>
      <c r="M6" s="267">
        <f>'1.9. Налчие просроч.КЗ'!G7</f>
        <v>10</v>
      </c>
      <c r="N6" s="267">
        <f>'1.10 Приостановление операций'!H7</f>
        <v>5</v>
      </c>
      <c r="O6" s="267">
        <f>'2.1. Кач-во пл.пост.налог+ненал'!I6</f>
        <v>2.5</v>
      </c>
      <c r="P6" s="267">
        <f>'2.2. Качество администр. ост.'!I8</f>
        <v>5</v>
      </c>
      <c r="Q6" s="267">
        <f>'2.3 Кач-во управ. просроч.ДЗ'!I8</f>
        <v>0</v>
      </c>
      <c r="R6" s="267">
        <f>'3.1 Степень достовер.отчет'!I7</f>
        <v>5</v>
      </c>
      <c r="S6" s="267">
        <f>'3.2 Нарушение треб. к бюдж.уч.'!H7</f>
        <v>0</v>
      </c>
      <c r="T6" s="267">
        <f>'4 Наличие на сайте ГМУ'!I7</f>
        <v>5</v>
      </c>
      <c r="U6" s="267">
        <f>'5 Управление активами'!H7</f>
        <v>5</v>
      </c>
      <c r="V6" s="157">
        <f t="shared" ref="V6:V16" si="2">SUM(E6:U6)</f>
        <v>74.270040047030676</v>
      </c>
      <c r="W6" s="240">
        <v>10</v>
      </c>
      <c r="X6" s="303">
        <f>10-E6</f>
        <v>0.43004450223440749</v>
      </c>
      <c r="Y6" s="303">
        <f t="shared" ref="Y6:Y16" si="3">5-F6</f>
        <v>0.72976622888430231</v>
      </c>
      <c r="Z6" s="303">
        <f t="shared" ref="Z6:Z16" si="4">5-G6</f>
        <v>1.8385972234985717</v>
      </c>
      <c r="AA6" s="301">
        <f t="shared" ref="AA6:AA16" si="5">5-H6</f>
        <v>0</v>
      </c>
      <c r="AB6" s="335">
        <f t="shared" ref="AB6:AB16" si="6">5-I6</f>
        <v>0.15805211448099143</v>
      </c>
      <c r="AC6" s="303">
        <f t="shared" ref="AC6:AC16" si="7">5-J6</f>
        <v>5</v>
      </c>
      <c r="AD6" s="301">
        <f t="shared" ref="AD6:AD16" si="8">5-K6</f>
        <v>0</v>
      </c>
      <c r="AE6" s="301">
        <f t="shared" ref="AE6:AE16" si="9">5-L6</f>
        <v>7.3499883871058991E-2</v>
      </c>
      <c r="AF6" s="301">
        <f t="shared" ref="AF6:AF16" si="10">10-M6</f>
        <v>0</v>
      </c>
      <c r="AG6" s="301">
        <f t="shared" ref="AG6:AG16" si="11">5-N6</f>
        <v>0</v>
      </c>
      <c r="AH6" s="303">
        <f t="shared" ref="AH6:AH16" si="12">5-O6</f>
        <v>2.5</v>
      </c>
      <c r="AI6" s="301">
        <f t="shared" ref="AI6:AI16" si="13">5-P6</f>
        <v>0</v>
      </c>
      <c r="AJ6" s="303">
        <f t="shared" ref="AJ6:AJ16" si="14">5-Q6</f>
        <v>5</v>
      </c>
      <c r="AK6" s="301">
        <f t="shared" ref="AK6:AK16" si="15">5-R6</f>
        <v>0</v>
      </c>
      <c r="AL6" s="303">
        <f t="shared" ref="AL6:AL16" si="16">5-S6</f>
        <v>5</v>
      </c>
      <c r="AM6" s="301">
        <f t="shared" ref="AM6:AM16" si="17">5-T6</f>
        <v>0</v>
      </c>
      <c r="AN6" s="301">
        <f t="shared" ref="AN6:AN16" si="18">5-U6</f>
        <v>0</v>
      </c>
      <c r="AO6" s="301">
        <f t="shared" ref="AO6:AO16" si="19">SUM(X6:AG6)</f>
        <v>8.229959952969331</v>
      </c>
      <c r="AP6" s="24">
        <f t="shared" ref="AP6:AP16" si="20">AO6/60*100</f>
        <v>13.716599921615552</v>
      </c>
      <c r="AQ6" s="301">
        <f t="shared" ref="AQ6:AQ16" si="21">SUM(AH6:AJ6)</f>
        <v>7.5</v>
      </c>
      <c r="AR6" s="24">
        <f t="shared" ref="AR6:AR16" si="22">AQ6/15*100</f>
        <v>50</v>
      </c>
      <c r="AS6" s="301">
        <f t="shared" ref="AS6:AS16" si="23">AK6+AL6</f>
        <v>5</v>
      </c>
      <c r="AT6" s="24">
        <f t="shared" ref="AT6:AT16" si="24">AS6/10*100</f>
        <v>50</v>
      </c>
      <c r="AU6" s="24">
        <f t="shared" ref="AU6:AU16" si="25">AM6/5*100</f>
        <v>0</v>
      </c>
      <c r="AV6" s="24">
        <f t="shared" ref="AV6:AV16" si="26">AN6/5*100</f>
        <v>0</v>
      </c>
    </row>
    <row r="7" spans="1:48" s="300" customFormat="1" ht="31.5" x14ac:dyDescent="0.25">
      <c r="A7" s="31" t="s">
        <v>17</v>
      </c>
      <c r="B7" s="32" t="s">
        <v>23</v>
      </c>
      <c r="C7" s="32" t="s">
        <v>24</v>
      </c>
      <c r="D7" s="33" t="s">
        <v>25</v>
      </c>
      <c r="E7" s="339">
        <f>'1.1 Кач. планирования расходов'!I9</f>
        <v>9.9931908843999313</v>
      </c>
      <c r="F7" s="265">
        <f>'1.2. Качество исполнения КП'!AQ9</f>
        <v>4.2074789530701446</v>
      </c>
      <c r="G7" s="265">
        <f>'1.3. Доля неиспользованых БА'!I9</f>
        <v>5</v>
      </c>
      <c r="H7" s="265">
        <f>'1.4 Своевременность принятия БО'!I8</f>
        <v>5</v>
      </c>
      <c r="I7" s="265">
        <f>'1.5 Несоотв. расч-плат док'!I8</f>
        <v>4.8201438848920866</v>
      </c>
      <c r="J7" s="266">
        <f>'1.6 Доля отклоненных ПГЗ'!I8</f>
        <v>5</v>
      </c>
      <c r="K7" s="266">
        <f>'1.7. Эффективность исп. МТ '!I7</f>
        <v>5</v>
      </c>
      <c r="L7" s="266">
        <f>'1.8. Эффект.управл. КЗ'!L8</f>
        <v>5</v>
      </c>
      <c r="M7" s="266">
        <f>'1.9. Налчие просроч.КЗ'!G8</f>
        <v>10</v>
      </c>
      <c r="N7" s="266">
        <f>'1.10 Приостановление операций'!H8</f>
        <v>5</v>
      </c>
      <c r="O7" s="266">
        <v>2.5</v>
      </c>
      <c r="P7" s="266">
        <f>'2.2. Качество администр. ост.'!I9</f>
        <v>5</v>
      </c>
      <c r="Q7" s="266">
        <f>'2.3 Кач-во управ. просроч.ДЗ'!I9</f>
        <v>5</v>
      </c>
      <c r="R7" s="266">
        <f>'3.1 Степень достовер.отчет'!I8</f>
        <v>5</v>
      </c>
      <c r="S7" s="266">
        <f>'3.2 Нарушение треб. к бюдж.уч.'!H8</f>
        <v>5</v>
      </c>
      <c r="T7" s="266">
        <f>'4 Наличие на сайте ГМУ'!I8</f>
        <v>5</v>
      </c>
      <c r="U7" s="266">
        <f>'5 Управление активами'!H8</f>
        <v>5</v>
      </c>
      <c r="V7" s="102">
        <f t="shared" si="2"/>
        <v>91.520813722362163</v>
      </c>
      <c r="W7" s="348">
        <v>4</v>
      </c>
      <c r="X7" s="336">
        <f t="shared" ref="X6:X16" si="27">10-E7</f>
        <v>6.8091156000686937E-3</v>
      </c>
      <c r="Y7" s="337">
        <f t="shared" si="3"/>
        <v>0.79252104692985537</v>
      </c>
      <c r="Z7" s="336">
        <f t="shared" si="4"/>
        <v>0</v>
      </c>
      <c r="AA7" s="336">
        <f t="shared" si="5"/>
        <v>0</v>
      </c>
      <c r="AB7" s="338">
        <f t="shared" si="6"/>
        <v>0.17985611510791344</v>
      </c>
      <c r="AC7" s="336">
        <f t="shared" si="7"/>
        <v>0</v>
      </c>
      <c r="AD7" s="336">
        <f t="shared" si="8"/>
        <v>0</v>
      </c>
      <c r="AE7" s="336">
        <f t="shared" si="9"/>
        <v>0</v>
      </c>
      <c r="AF7" s="336">
        <f t="shared" si="10"/>
        <v>0</v>
      </c>
      <c r="AG7" s="336">
        <f t="shared" si="11"/>
        <v>0</v>
      </c>
      <c r="AH7" s="337">
        <f t="shared" si="12"/>
        <v>2.5</v>
      </c>
      <c r="AI7" s="336">
        <f t="shared" si="13"/>
        <v>0</v>
      </c>
      <c r="AJ7" s="338">
        <f t="shared" si="14"/>
        <v>0</v>
      </c>
      <c r="AK7" s="336">
        <f t="shared" si="15"/>
        <v>0</v>
      </c>
      <c r="AL7" s="336">
        <f t="shared" si="16"/>
        <v>0</v>
      </c>
      <c r="AM7" s="336">
        <f t="shared" si="17"/>
        <v>0</v>
      </c>
      <c r="AN7" s="336">
        <f t="shared" si="18"/>
        <v>0</v>
      </c>
      <c r="AO7" s="301">
        <f t="shared" si="19"/>
        <v>0.9791862776378375</v>
      </c>
      <c r="AP7" s="24">
        <f t="shared" si="20"/>
        <v>1.6319771293963958</v>
      </c>
      <c r="AQ7" s="301">
        <f t="shared" si="21"/>
        <v>2.5</v>
      </c>
      <c r="AR7" s="24">
        <f t="shared" si="22"/>
        <v>16.666666666666664</v>
      </c>
      <c r="AS7" s="301">
        <f t="shared" si="23"/>
        <v>0</v>
      </c>
      <c r="AT7" s="24">
        <f t="shared" si="24"/>
        <v>0</v>
      </c>
      <c r="AU7" s="24">
        <f t="shared" si="25"/>
        <v>0</v>
      </c>
      <c r="AV7" s="24">
        <f t="shared" si="26"/>
        <v>0</v>
      </c>
    </row>
    <row r="8" spans="1:48" ht="33.6" customHeight="1" x14ac:dyDescent="0.25">
      <c r="A8" s="354" t="s">
        <v>18</v>
      </c>
      <c r="B8" s="355" t="s">
        <v>26</v>
      </c>
      <c r="C8" s="355" t="s">
        <v>27</v>
      </c>
      <c r="D8" s="356" t="s">
        <v>28</v>
      </c>
      <c r="E8" s="357">
        <f>'1.1 Кач. планирования расходов'!I10</f>
        <v>10</v>
      </c>
      <c r="F8" s="358">
        <f>'1.2. Качество исполнения КП'!AQ10</f>
        <v>4.5833333333333321</v>
      </c>
      <c r="G8" s="358">
        <f>'1.3. Доля неиспользованых БА'!I10</f>
        <v>5</v>
      </c>
      <c r="H8" s="358">
        <f>'1.4 Своевременность принятия БО'!I9</f>
        <v>5</v>
      </c>
      <c r="I8" s="358">
        <f>'1.5 Несоотв. расч-плат док'!I9</f>
        <v>4.976525821596244</v>
      </c>
      <c r="J8" s="359">
        <f>'1.6 Доля отклоненных ПГЗ'!I9</f>
        <v>5</v>
      </c>
      <c r="K8" s="359">
        <f>'1.7. Эффективность исп. МТ '!I8</f>
        <v>5</v>
      </c>
      <c r="L8" s="359">
        <f>'1.8. Эффект.управл. КЗ'!L9</f>
        <v>5</v>
      </c>
      <c r="M8" s="359">
        <f>'1.9. Налчие просроч.КЗ'!G9</f>
        <v>10</v>
      </c>
      <c r="N8" s="359">
        <f>'1.10 Приостановление операций'!H9</f>
        <v>5</v>
      </c>
      <c r="O8" s="359">
        <f>'2.1. Кач-во пл.пост.налог+ненал'!I8</f>
        <v>5</v>
      </c>
      <c r="P8" s="359">
        <f>'2.2. Качество администр. ост.'!I10</f>
        <v>5</v>
      </c>
      <c r="Q8" s="359">
        <f>'2.3 Кач-во управ. просроч.ДЗ'!I10</f>
        <v>5</v>
      </c>
      <c r="R8" s="359">
        <f>'3.1 Степень достовер.отчет'!I9</f>
        <v>5</v>
      </c>
      <c r="S8" s="359">
        <f>'3.2 Нарушение треб. к бюдж.уч.'!H9</f>
        <v>5</v>
      </c>
      <c r="T8" s="359">
        <f>'4 Наличие на сайте ГМУ'!I9</f>
        <v>5</v>
      </c>
      <c r="U8" s="359">
        <f>'5 Управление активами'!H9</f>
        <v>5</v>
      </c>
      <c r="V8" s="360">
        <f t="shared" si="2"/>
        <v>94.559859154929569</v>
      </c>
      <c r="W8" s="361">
        <v>1</v>
      </c>
      <c r="X8" s="301">
        <f t="shared" si="27"/>
        <v>0</v>
      </c>
      <c r="Y8" s="303">
        <f t="shared" si="3"/>
        <v>0.41666666666666785</v>
      </c>
      <c r="Z8" s="301">
        <f t="shared" si="4"/>
        <v>0</v>
      </c>
      <c r="AA8" s="301">
        <f t="shared" si="5"/>
        <v>0</v>
      </c>
      <c r="AB8" s="301">
        <f t="shared" si="6"/>
        <v>2.3474178403755985E-2</v>
      </c>
      <c r="AC8" s="301">
        <f t="shared" si="7"/>
        <v>0</v>
      </c>
      <c r="AD8" s="301">
        <f t="shared" si="8"/>
        <v>0</v>
      </c>
      <c r="AE8" s="301">
        <f t="shared" si="9"/>
        <v>0</v>
      </c>
      <c r="AF8" s="301">
        <f t="shared" si="10"/>
        <v>0</v>
      </c>
      <c r="AG8" s="301">
        <f t="shared" si="11"/>
        <v>0</v>
      </c>
      <c r="AH8" s="301">
        <f t="shared" si="12"/>
        <v>0</v>
      </c>
      <c r="AI8" s="301">
        <f t="shared" si="13"/>
        <v>0</v>
      </c>
      <c r="AJ8" s="335">
        <f t="shared" si="14"/>
        <v>0</v>
      </c>
      <c r="AK8" s="301">
        <f t="shared" si="15"/>
        <v>0</v>
      </c>
      <c r="AL8" s="301">
        <f t="shared" si="16"/>
        <v>0</v>
      </c>
      <c r="AM8" s="301">
        <f t="shared" si="17"/>
        <v>0</v>
      </c>
      <c r="AN8" s="301">
        <f t="shared" si="18"/>
        <v>0</v>
      </c>
      <c r="AO8" s="301">
        <f t="shared" si="19"/>
        <v>0.44014084507042384</v>
      </c>
      <c r="AP8" s="24">
        <f t="shared" si="20"/>
        <v>0.7335680751173731</v>
      </c>
      <c r="AQ8" s="301">
        <f t="shared" si="21"/>
        <v>0</v>
      </c>
      <c r="AR8" s="24">
        <f t="shared" si="22"/>
        <v>0</v>
      </c>
      <c r="AS8" s="301">
        <f t="shared" si="23"/>
        <v>0</v>
      </c>
      <c r="AT8" s="24">
        <f t="shared" si="24"/>
        <v>0</v>
      </c>
      <c r="AU8" s="24">
        <f t="shared" si="25"/>
        <v>0</v>
      </c>
      <c r="AV8" s="24">
        <f t="shared" si="26"/>
        <v>0</v>
      </c>
    </row>
    <row r="9" spans="1:48" ht="49.15" customHeight="1" x14ac:dyDescent="0.25">
      <c r="A9" s="31" t="s">
        <v>19</v>
      </c>
      <c r="B9" s="32" t="s">
        <v>29</v>
      </c>
      <c r="C9" s="32" t="s">
        <v>30</v>
      </c>
      <c r="D9" s="33" t="s">
        <v>31</v>
      </c>
      <c r="E9" s="208">
        <f>'1.1 Кач. планирования расходов'!I11</f>
        <v>9.9998343740165971</v>
      </c>
      <c r="F9" s="265">
        <f>'1.2. Качество исполнения КП'!AQ11</f>
        <v>3.9554546775850223</v>
      </c>
      <c r="G9" s="198">
        <f>'1.3. Доля неиспользованых БА'!I11</f>
        <v>5</v>
      </c>
      <c r="H9" s="198">
        <f>'1.4 Своевременность принятия БО'!I10</f>
        <v>5</v>
      </c>
      <c r="I9" s="198">
        <f>'1.5 Несоотв. расч-плат док'!I10</f>
        <v>4.8492907801418443</v>
      </c>
      <c r="J9" s="267">
        <f>'1.6 Доля отклоненных ПГЗ'!I10</f>
        <v>5</v>
      </c>
      <c r="K9" s="267">
        <f>'1.7. Эффективность исп. МТ '!I9</f>
        <v>5</v>
      </c>
      <c r="L9" s="267">
        <f>'1.8. Эффект.управл. КЗ'!L10</f>
        <v>5</v>
      </c>
      <c r="M9" s="267">
        <f>'1.9. Налчие просроч.КЗ'!G10</f>
        <v>10</v>
      </c>
      <c r="N9" s="267">
        <f>'1.10 Приостановление операций'!H10</f>
        <v>5</v>
      </c>
      <c r="O9" s="267">
        <f>'2.1. Кач-во пл.пост.налог+ненал'!I9</f>
        <v>5</v>
      </c>
      <c r="P9" s="267">
        <f>'2.2. Качество администр. ост.'!I11</f>
        <v>5</v>
      </c>
      <c r="Q9" s="267">
        <f>'2.3 Кач-во управ. просроч.ДЗ'!I11</f>
        <v>5</v>
      </c>
      <c r="R9" s="267">
        <f>'3.1 Степень достовер.отчет'!I10</f>
        <v>5</v>
      </c>
      <c r="S9" s="267">
        <f>'3.2 Нарушение треб. к бюдж.уч.'!H10</f>
        <v>5</v>
      </c>
      <c r="T9" s="267">
        <f>'4 Наличие на сайте ГМУ'!I10</f>
        <v>5</v>
      </c>
      <c r="U9" s="267">
        <f>'5 Управление активами'!H10</f>
        <v>5</v>
      </c>
      <c r="V9" s="157">
        <f t="shared" si="2"/>
        <v>93.804579831743467</v>
      </c>
      <c r="W9" s="277">
        <v>3</v>
      </c>
      <c r="X9" s="301">
        <f t="shared" si="27"/>
        <v>1.6562598340286172E-4</v>
      </c>
      <c r="Y9" s="303">
        <f t="shared" si="3"/>
        <v>1.0445453224149777</v>
      </c>
      <c r="Z9" s="301">
        <f t="shared" si="4"/>
        <v>0</v>
      </c>
      <c r="AA9" s="301">
        <f t="shared" si="5"/>
        <v>0</v>
      </c>
      <c r="AB9" s="335">
        <f t="shared" si="6"/>
        <v>0.15070921985815566</v>
      </c>
      <c r="AC9" s="301">
        <f t="shared" si="7"/>
        <v>0</v>
      </c>
      <c r="AD9" s="301">
        <f t="shared" si="8"/>
        <v>0</v>
      </c>
      <c r="AE9" s="301">
        <f t="shared" si="9"/>
        <v>0</v>
      </c>
      <c r="AF9" s="301">
        <f t="shared" si="10"/>
        <v>0</v>
      </c>
      <c r="AG9" s="301">
        <f t="shared" si="11"/>
        <v>0</v>
      </c>
      <c r="AH9" s="301">
        <f t="shared" si="12"/>
        <v>0</v>
      </c>
      <c r="AI9" s="301">
        <f t="shared" si="13"/>
        <v>0</v>
      </c>
      <c r="AJ9" s="335">
        <f t="shared" si="14"/>
        <v>0</v>
      </c>
      <c r="AK9" s="301">
        <f t="shared" si="15"/>
        <v>0</v>
      </c>
      <c r="AL9" s="301">
        <f t="shared" si="16"/>
        <v>0</v>
      </c>
      <c r="AM9" s="301">
        <f t="shared" si="17"/>
        <v>0</v>
      </c>
      <c r="AN9" s="301">
        <f t="shared" si="18"/>
        <v>0</v>
      </c>
      <c r="AO9" s="301">
        <f t="shared" si="19"/>
        <v>1.1954201682565362</v>
      </c>
      <c r="AP9" s="24">
        <f t="shared" si="20"/>
        <v>1.9923669470942269</v>
      </c>
      <c r="AQ9" s="301">
        <f t="shared" si="21"/>
        <v>0</v>
      </c>
      <c r="AR9" s="24">
        <f t="shared" si="22"/>
        <v>0</v>
      </c>
      <c r="AS9" s="301">
        <f t="shared" si="23"/>
        <v>0</v>
      </c>
      <c r="AT9" s="24">
        <f t="shared" si="24"/>
        <v>0</v>
      </c>
      <c r="AU9" s="24">
        <f t="shared" si="25"/>
        <v>0</v>
      </c>
      <c r="AV9" s="24">
        <f t="shared" si="26"/>
        <v>0</v>
      </c>
    </row>
    <row r="10" spans="1:48" ht="46.9" customHeight="1" x14ac:dyDescent="0.25">
      <c r="A10" s="31" t="s">
        <v>20</v>
      </c>
      <c r="B10" s="32" t="s">
        <v>32</v>
      </c>
      <c r="C10" s="32" t="s">
        <v>33</v>
      </c>
      <c r="D10" s="33" t="s">
        <v>34</v>
      </c>
      <c r="E10" s="208">
        <f>'1.1 Кач. планирования расходов'!I12</f>
        <v>10</v>
      </c>
      <c r="F10" s="265">
        <f>'1.2. Качество исполнения КП'!AQ12</f>
        <v>4.5833062988078339</v>
      </c>
      <c r="G10" s="198">
        <f>'1.3. Доля неиспользованых БА'!I12</f>
        <v>5</v>
      </c>
      <c r="H10" s="198">
        <f>'1.4 Своевременность принятия БО'!I11</f>
        <v>5</v>
      </c>
      <c r="I10" s="198">
        <f>'1.5 Несоотв. расч-плат док'!I11</f>
        <v>4.9591836734693882</v>
      </c>
      <c r="J10" s="267">
        <f>'1.6 Доля отклоненных ПГЗ'!I11</f>
        <v>5</v>
      </c>
      <c r="K10" s="267">
        <f>'1.7. Эффективность исп. МТ '!I10</f>
        <v>5</v>
      </c>
      <c r="L10" s="267">
        <f>'1.8. Эффект.управл. КЗ'!L11</f>
        <v>5</v>
      </c>
      <c r="M10" s="267">
        <f>'1.9. Налчие просроч.КЗ'!G11</f>
        <v>10</v>
      </c>
      <c r="N10" s="267">
        <f>'1.10 Приостановление операций'!H11</f>
        <v>5</v>
      </c>
      <c r="O10" s="267">
        <f>'2.1. Кач-во пл.пост.налог+ненал'!I10</f>
        <v>5</v>
      </c>
      <c r="P10" s="267">
        <f>'2.2. Качество администр. ост.'!I12</f>
        <v>5</v>
      </c>
      <c r="Q10" s="267">
        <f>'2.3 Кач-во управ. просроч.ДЗ'!I12</f>
        <v>5</v>
      </c>
      <c r="R10" s="267">
        <f>'3.1 Степень достовер.отчет'!I11</f>
        <v>5</v>
      </c>
      <c r="S10" s="267">
        <f>'3.2 Нарушение треб. к бюдж.уч.'!H11</f>
        <v>5</v>
      </c>
      <c r="T10" s="267">
        <f>'4 Наличие на сайте ГМУ'!I11</f>
        <v>5</v>
      </c>
      <c r="U10" s="267">
        <f>'5 Управление активами'!H11</f>
        <v>5</v>
      </c>
      <c r="V10" s="157">
        <f t="shared" si="2"/>
        <v>94.542489972277224</v>
      </c>
      <c r="W10" s="277">
        <v>2</v>
      </c>
      <c r="X10" s="301">
        <f t="shared" si="27"/>
        <v>0</v>
      </c>
      <c r="Y10" s="303">
        <f t="shared" si="3"/>
        <v>0.41669370119216609</v>
      </c>
      <c r="Z10" s="301">
        <f t="shared" si="4"/>
        <v>0</v>
      </c>
      <c r="AA10" s="301">
        <f t="shared" si="5"/>
        <v>0</v>
      </c>
      <c r="AB10" s="335">
        <f t="shared" si="6"/>
        <v>4.0816326530611846E-2</v>
      </c>
      <c r="AC10" s="301">
        <f t="shared" si="7"/>
        <v>0</v>
      </c>
      <c r="AD10" s="301">
        <f t="shared" si="8"/>
        <v>0</v>
      </c>
      <c r="AE10" s="301">
        <f t="shared" si="9"/>
        <v>0</v>
      </c>
      <c r="AF10" s="301">
        <f t="shared" si="10"/>
        <v>0</v>
      </c>
      <c r="AG10" s="301">
        <f t="shared" si="11"/>
        <v>0</v>
      </c>
      <c r="AH10" s="301">
        <f t="shared" si="12"/>
        <v>0</v>
      </c>
      <c r="AI10" s="301">
        <f t="shared" si="13"/>
        <v>0</v>
      </c>
      <c r="AJ10" s="335">
        <f t="shared" si="14"/>
        <v>0</v>
      </c>
      <c r="AK10" s="301">
        <f t="shared" si="15"/>
        <v>0</v>
      </c>
      <c r="AL10" s="301">
        <f t="shared" si="16"/>
        <v>0</v>
      </c>
      <c r="AM10" s="301">
        <f t="shared" si="17"/>
        <v>0</v>
      </c>
      <c r="AN10" s="301">
        <f t="shared" si="18"/>
        <v>0</v>
      </c>
      <c r="AO10" s="301">
        <f t="shared" si="19"/>
        <v>0.45751002772277793</v>
      </c>
      <c r="AP10" s="24">
        <f t="shared" si="20"/>
        <v>0.76251671287129652</v>
      </c>
      <c r="AQ10" s="301">
        <f t="shared" si="21"/>
        <v>0</v>
      </c>
      <c r="AR10" s="24">
        <f t="shared" si="22"/>
        <v>0</v>
      </c>
      <c r="AS10" s="301">
        <f t="shared" si="23"/>
        <v>0</v>
      </c>
      <c r="AT10" s="24">
        <f t="shared" si="24"/>
        <v>0</v>
      </c>
      <c r="AU10" s="24">
        <f t="shared" si="25"/>
        <v>0</v>
      </c>
      <c r="AV10" s="24">
        <f t="shared" si="26"/>
        <v>0</v>
      </c>
    </row>
    <row r="11" spans="1:48" x14ac:dyDescent="0.25">
      <c r="A11" s="362" t="s">
        <v>21</v>
      </c>
      <c r="B11" s="363" t="s">
        <v>35</v>
      </c>
      <c r="C11" s="363" t="s">
        <v>36</v>
      </c>
      <c r="D11" s="364" t="s">
        <v>37</v>
      </c>
      <c r="E11" s="365">
        <f>'1.1 Кач. планирования расходов'!I13</f>
        <v>9.1924490269285695</v>
      </c>
      <c r="F11" s="366">
        <f>'1.2. Качество исполнения КП'!AQ13</f>
        <v>3.8200039013594549</v>
      </c>
      <c r="G11" s="366">
        <f>'1.3. Доля неиспользованых БА'!I13</f>
        <v>0</v>
      </c>
      <c r="H11" s="366">
        <f>'1.4 Своевременность принятия БО'!I12</f>
        <v>5</v>
      </c>
      <c r="I11" s="366">
        <f>'1.5 Несоотв. расч-плат док'!I12</f>
        <v>4.8394975575715282</v>
      </c>
      <c r="J11" s="367">
        <f>'1.6 Доля отклоненных ПГЗ'!I12</f>
        <v>0</v>
      </c>
      <c r="K11" s="367">
        <f>'1.7. Эффективность исп. МТ '!I11</f>
        <v>0</v>
      </c>
      <c r="L11" s="367">
        <f>'1.8. Эффект.управл. КЗ'!L12</f>
        <v>4.95</v>
      </c>
      <c r="M11" s="367">
        <f>'1.9. Налчие просроч.КЗ'!G12</f>
        <v>10</v>
      </c>
      <c r="N11" s="367">
        <f>'1.10 Приостановление операций'!H12</f>
        <v>5</v>
      </c>
      <c r="O11" s="367">
        <f>'2.1. Кач-во пл.пост.налог+ненал'!I11</f>
        <v>2.5</v>
      </c>
      <c r="P11" s="367">
        <f>'2.2. Качество администр. ост.'!I13</f>
        <v>5</v>
      </c>
      <c r="Q11" s="367">
        <f>'2.3 Кач-во управ. просроч.ДЗ'!I13</f>
        <v>0.6434955853209855</v>
      </c>
      <c r="R11" s="367">
        <f>'3.1 Степень достовер.отчет'!I12</f>
        <v>5</v>
      </c>
      <c r="S11" s="367">
        <f>'3.2 Нарушение треб. к бюдж.уч.'!H12</f>
        <v>5</v>
      </c>
      <c r="T11" s="367">
        <f>'4 Наличие на сайте ГМУ'!I12</f>
        <v>5</v>
      </c>
      <c r="U11" s="367">
        <f>'5 Управление активами'!H12</f>
        <v>5</v>
      </c>
      <c r="V11" s="368">
        <f t="shared" si="2"/>
        <v>70.945446071180527</v>
      </c>
      <c r="W11" s="369">
        <v>12</v>
      </c>
      <c r="X11" s="303">
        <f t="shared" si="27"/>
        <v>0.80755097307143053</v>
      </c>
      <c r="Y11" s="303">
        <f t="shared" si="3"/>
        <v>1.1799960986405451</v>
      </c>
      <c r="Z11" s="303">
        <f t="shared" si="4"/>
        <v>5</v>
      </c>
      <c r="AA11" s="301">
        <f t="shared" si="5"/>
        <v>0</v>
      </c>
      <c r="AB11" s="335">
        <f t="shared" si="6"/>
        <v>0.16050244242847178</v>
      </c>
      <c r="AC11" s="303">
        <f t="shared" si="7"/>
        <v>5</v>
      </c>
      <c r="AD11" s="303">
        <f t="shared" si="8"/>
        <v>5</v>
      </c>
      <c r="AE11" s="301">
        <f t="shared" si="9"/>
        <v>4.9999999999999822E-2</v>
      </c>
      <c r="AF11" s="301">
        <f t="shared" si="10"/>
        <v>0</v>
      </c>
      <c r="AG11" s="301">
        <f t="shared" si="11"/>
        <v>0</v>
      </c>
      <c r="AH11" s="303">
        <f t="shared" si="12"/>
        <v>2.5</v>
      </c>
      <c r="AI11" s="301">
        <f t="shared" si="13"/>
        <v>0</v>
      </c>
      <c r="AJ11" s="303">
        <f t="shared" si="14"/>
        <v>4.3565044146790148</v>
      </c>
      <c r="AK11" s="301">
        <f t="shared" si="15"/>
        <v>0</v>
      </c>
      <c r="AL11" s="301">
        <f t="shared" si="16"/>
        <v>0</v>
      </c>
      <c r="AM11" s="301">
        <f t="shared" si="17"/>
        <v>0</v>
      </c>
      <c r="AN11" s="301">
        <f t="shared" si="18"/>
        <v>0</v>
      </c>
      <c r="AO11" s="301">
        <f t="shared" si="19"/>
        <v>17.198049514140447</v>
      </c>
      <c r="AP11" s="492">
        <f t="shared" si="20"/>
        <v>28.663415856900741</v>
      </c>
      <c r="AQ11" s="301">
        <f t="shared" si="21"/>
        <v>6.8565044146790148</v>
      </c>
      <c r="AR11" s="492">
        <f t="shared" si="22"/>
        <v>45.710029431193433</v>
      </c>
      <c r="AS11" s="301">
        <f t="shared" si="23"/>
        <v>0</v>
      </c>
      <c r="AT11" s="24">
        <f t="shared" si="24"/>
        <v>0</v>
      </c>
      <c r="AU11" s="24">
        <f t="shared" si="25"/>
        <v>0</v>
      </c>
      <c r="AV11" s="24">
        <f t="shared" si="26"/>
        <v>0</v>
      </c>
    </row>
    <row r="12" spans="1:48" s="15" customFormat="1" ht="31.5" x14ac:dyDescent="0.25">
      <c r="A12" s="31" t="s">
        <v>22</v>
      </c>
      <c r="B12" s="32" t="s">
        <v>41</v>
      </c>
      <c r="C12" s="32" t="s">
        <v>39</v>
      </c>
      <c r="D12" s="33" t="s">
        <v>40</v>
      </c>
      <c r="E12" s="339">
        <f>'1.1 Кач. планирования расходов'!I14</f>
        <v>9.4876574581349509</v>
      </c>
      <c r="F12" s="265">
        <f>'1.2. Качество исполнения КП'!AQ14</f>
        <v>3.7878725678150404</v>
      </c>
      <c r="G12" s="265">
        <f>'1.3. Доля неиспользованых БА'!I14</f>
        <v>5</v>
      </c>
      <c r="H12" s="265">
        <f>'1.4 Своевременность принятия БО'!I13</f>
        <v>5</v>
      </c>
      <c r="I12" s="265">
        <f>'1.5 Несоотв. расч-плат док'!I13</f>
        <v>4.873969352640712</v>
      </c>
      <c r="J12" s="266">
        <f>'1.6 Доля отклоненных ПГЗ'!I13</f>
        <v>4.7957470621152769</v>
      </c>
      <c r="K12" s="266">
        <f>'1.7. Эффективность исп. МТ '!I12</f>
        <v>5</v>
      </c>
      <c r="L12" s="266">
        <f>'1.8. Эффект.управл. КЗ'!L13</f>
        <v>5</v>
      </c>
      <c r="M12" s="266">
        <f>'1.9. Налчие просроч.КЗ'!G13</f>
        <v>10</v>
      </c>
      <c r="N12" s="266">
        <f>'1.10 Приостановление операций'!H13</f>
        <v>5</v>
      </c>
      <c r="O12" s="266">
        <f>'2.1. Кач-во пл.пост.налог+ненал'!I12</f>
        <v>5</v>
      </c>
      <c r="P12" s="266">
        <f>'2.2. Качество администр. ост.'!I14</f>
        <v>5</v>
      </c>
      <c r="Q12" s="266">
        <f>'2.3 Кач-во управ. просроч.ДЗ'!I14</f>
        <v>5</v>
      </c>
      <c r="R12" s="266">
        <f>'3.1 Степень достовер.отчет'!I13</f>
        <v>3.25</v>
      </c>
      <c r="S12" s="266">
        <f>'3.2 Нарушение треб. к бюдж.уч.'!H13</f>
        <v>0</v>
      </c>
      <c r="T12" s="266">
        <f>'4 Наличие на сайте ГМУ'!I13</f>
        <v>5</v>
      </c>
      <c r="U12" s="267">
        <f>'5 Управление активами'!H13</f>
        <v>5</v>
      </c>
      <c r="V12" s="102">
        <f t="shared" si="2"/>
        <v>86.195246440705972</v>
      </c>
      <c r="W12" s="348">
        <v>6</v>
      </c>
      <c r="X12" s="349">
        <f t="shared" si="27"/>
        <v>0.51234254186504913</v>
      </c>
      <c r="Y12" s="349">
        <f t="shared" si="3"/>
        <v>1.2121274321849596</v>
      </c>
      <c r="Z12" s="39">
        <f t="shared" si="4"/>
        <v>0</v>
      </c>
      <c r="AA12" s="39">
        <f t="shared" si="5"/>
        <v>0</v>
      </c>
      <c r="AB12" s="350">
        <f t="shared" si="6"/>
        <v>0.12603064735928804</v>
      </c>
      <c r="AC12" s="39">
        <f t="shared" si="7"/>
        <v>0.2042529378847231</v>
      </c>
      <c r="AD12" s="39">
        <f t="shared" si="8"/>
        <v>0</v>
      </c>
      <c r="AE12" s="39">
        <f t="shared" si="9"/>
        <v>0</v>
      </c>
      <c r="AF12" s="39">
        <f t="shared" si="10"/>
        <v>0</v>
      </c>
      <c r="AG12" s="39">
        <f t="shared" si="11"/>
        <v>0</v>
      </c>
      <c r="AH12" s="39">
        <f t="shared" si="12"/>
        <v>0</v>
      </c>
      <c r="AI12" s="39">
        <f t="shared" si="13"/>
        <v>0</v>
      </c>
      <c r="AJ12" s="350">
        <f t="shared" si="14"/>
        <v>0</v>
      </c>
      <c r="AK12" s="349">
        <f t="shared" si="15"/>
        <v>1.75</v>
      </c>
      <c r="AL12" s="349">
        <f t="shared" si="16"/>
        <v>5</v>
      </c>
      <c r="AM12" s="39">
        <f t="shared" si="17"/>
        <v>0</v>
      </c>
      <c r="AN12" s="39">
        <f t="shared" si="18"/>
        <v>0</v>
      </c>
      <c r="AO12" s="301">
        <f t="shared" si="19"/>
        <v>2.0547535592940198</v>
      </c>
      <c r="AP12" s="24">
        <f t="shared" si="20"/>
        <v>3.4245892654900327</v>
      </c>
      <c r="AQ12" s="301">
        <f t="shared" si="21"/>
        <v>0</v>
      </c>
      <c r="AR12" s="24">
        <f t="shared" si="22"/>
        <v>0</v>
      </c>
      <c r="AS12" s="301">
        <f t="shared" si="23"/>
        <v>6.75</v>
      </c>
      <c r="AT12" s="492">
        <f t="shared" si="24"/>
        <v>67.5</v>
      </c>
      <c r="AU12" s="24">
        <f t="shared" si="25"/>
        <v>0</v>
      </c>
      <c r="AV12" s="24">
        <f t="shared" si="26"/>
        <v>0</v>
      </c>
    </row>
    <row r="13" spans="1:48" x14ac:dyDescent="0.25">
      <c r="A13" s="34">
        <v>9</v>
      </c>
      <c r="B13" s="32" t="s">
        <v>42</v>
      </c>
      <c r="C13" s="32" t="s">
        <v>43</v>
      </c>
      <c r="D13" s="33" t="s">
        <v>44</v>
      </c>
      <c r="E13" s="208">
        <f>'1.1 Кач. планирования расходов'!I15</f>
        <v>8.8231026338532921</v>
      </c>
      <c r="F13" s="265">
        <f>'1.2. Качество исполнения КП'!AQ15</f>
        <v>4.1285343043056706</v>
      </c>
      <c r="G13" s="198">
        <f>'1.3. Доля неиспользованых БА'!I15</f>
        <v>4.9999688623816612</v>
      </c>
      <c r="H13" s="198">
        <f>'1.4 Своевременность принятия БО'!I14</f>
        <v>5</v>
      </c>
      <c r="I13" s="198">
        <f>'1.5 Несоотв. расч-плат док'!I14</f>
        <v>4.7705529430841578</v>
      </c>
      <c r="J13" s="267">
        <f>'1.6 Доля отклоненных ПГЗ'!I14</f>
        <v>0</v>
      </c>
      <c r="K13" s="267">
        <f>'1.7. Эффективность исп. МТ '!I13</f>
        <v>5</v>
      </c>
      <c r="L13" s="267">
        <f>'1.8. Эффект.управл. КЗ'!L14</f>
        <v>5</v>
      </c>
      <c r="M13" s="267">
        <f>'1.9. Налчие просроч.КЗ'!G14</f>
        <v>10</v>
      </c>
      <c r="N13" s="267">
        <f>'1.10 Приостановление операций'!H14</f>
        <v>5</v>
      </c>
      <c r="O13" s="267">
        <f>'2.1. Кач-во пл.пост.налог+ненал'!I13</f>
        <v>5</v>
      </c>
      <c r="P13" s="267">
        <f>'2.2. Качество администр. ост.'!I15</f>
        <v>5</v>
      </c>
      <c r="Q13" s="267">
        <f>'2.3 Кач-во управ. просроч.ДЗ'!I15</f>
        <v>0</v>
      </c>
      <c r="R13" s="267">
        <f>'3.1 Степень достовер.отчет'!I14</f>
        <v>0</v>
      </c>
      <c r="S13" s="267">
        <f>'3.2 Нарушение треб. к бюдж.уч.'!H14</f>
        <v>0</v>
      </c>
      <c r="T13" s="267">
        <f>'4 Наличие на сайте ГМУ'!I14</f>
        <v>5</v>
      </c>
      <c r="U13" s="267">
        <f>'5 Управление активами'!H14</f>
        <v>5</v>
      </c>
      <c r="V13" s="157">
        <f t="shared" si="2"/>
        <v>72.722158743624789</v>
      </c>
      <c r="W13" s="240">
        <v>11</v>
      </c>
      <c r="X13" s="303">
        <f t="shared" si="27"/>
        <v>1.1768973661467079</v>
      </c>
      <c r="Y13" s="303">
        <f t="shared" si="3"/>
        <v>0.87146569569432941</v>
      </c>
      <c r="Z13" s="301">
        <f t="shared" si="4"/>
        <v>3.113761833883899E-5</v>
      </c>
      <c r="AA13" s="301">
        <f t="shared" si="5"/>
        <v>0</v>
      </c>
      <c r="AB13" s="335">
        <f t="shared" si="6"/>
        <v>0.22944705691584222</v>
      </c>
      <c r="AC13" s="303">
        <f t="shared" si="7"/>
        <v>5</v>
      </c>
      <c r="AD13" s="301">
        <f t="shared" si="8"/>
        <v>0</v>
      </c>
      <c r="AE13" s="301">
        <f t="shared" si="9"/>
        <v>0</v>
      </c>
      <c r="AF13" s="301">
        <f t="shared" si="10"/>
        <v>0</v>
      </c>
      <c r="AG13" s="301">
        <f t="shared" si="11"/>
        <v>0</v>
      </c>
      <c r="AH13" s="301">
        <f t="shared" si="12"/>
        <v>0</v>
      </c>
      <c r="AI13" s="301">
        <f t="shared" si="13"/>
        <v>0</v>
      </c>
      <c r="AJ13" s="303">
        <f t="shared" si="14"/>
        <v>5</v>
      </c>
      <c r="AK13" s="303">
        <f t="shared" si="15"/>
        <v>5</v>
      </c>
      <c r="AL13" s="303">
        <f t="shared" si="16"/>
        <v>5</v>
      </c>
      <c r="AM13" s="301">
        <f t="shared" si="17"/>
        <v>0</v>
      </c>
      <c r="AN13" s="301">
        <f t="shared" si="18"/>
        <v>0</v>
      </c>
      <c r="AO13" s="301">
        <f t="shared" si="19"/>
        <v>7.2778412563752184</v>
      </c>
      <c r="AP13" s="24">
        <f t="shared" si="20"/>
        <v>12.129735427292031</v>
      </c>
      <c r="AQ13" s="301">
        <f t="shared" si="21"/>
        <v>5</v>
      </c>
      <c r="AR13" s="492">
        <f t="shared" si="22"/>
        <v>33.333333333333329</v>
      </c>
      <c r="AS13" s="301">
        <f t="shared" si="23"/>
        <v>10</v>
      </c>
      <c r="AT13" s="492">
        <f t="shared" si="24"/>
        <v>100</v>
      </c>
      <c r="AU13" s="24">
        <f t="shared" si="25"/>
        <v>0</v>
      </c>
      <c r="AV13" s="24">
        <f t="shared" si="26"/>
        <v>0</v>
      </c>
    </row>
    <row r="14" spans="1:48" ht="31.9" customHeight="1" x14ac:dyDescent="0.25">
      <c r="A14" s="34">
        <v>10</v>
      </c>
      <c r="B14" s="32" t="s">
        <v>45</v>
      </c>
      <c r="C14" s="32" t="s">
        <v>46</v>
      </c>
      <c r="D14" s="33" t="s">
        <v>47</v>
      </c>
      <c r="E14" s="208">
        <f>'1.1 Кач. планирования расходов'!I16</f>
        <v>9.678858296788583</v>
      </c>
      <c r="F14" s="265">
        <f>'1.2. Качество исполнения КП'!AQ16</f>
        <v>3.8324444188647311</v>
      </c>
      <c r="G14" s="198">
        <f>'1.3. Доля неиспользованых БА'!I16</f>
        <v>2.9532135127040116</v>
      </c>
      <c r="H14" s="198">
        <f>'1.4 Своевременность принятия БО'!I15</f>
        <v>5</v>
      </c>
      <c r="I14" s="198">
        <f>'1.5 Несоотв. расч-плат док'!I15</f>
        <v>4.77112676056338</v>
      </c>
      <c r="J14" s="267">
        <f>'1.6 Доля отклоненных ПГЗ'!I15</f>
        <v>0</v>
      </c>
      <c r="K14" s="267">
        <f>'1.7. Эффективность исп. МТ '!I14</f>
        <v>0</v>
      </c>
      <c r="L14" s="267">
        <f>'1.8. Эффект.управл. КЗ'!L15</f>
        <v>5</v>
      </c>
      <c r="M14" s="267">
        <f>'1.9. Налчие просроч.КЗ'!G15</f>
        <v>10</v>
      </c>
      <c r="N14" s="267">
        <f>'1.10 Приостановление операций'!H15</f>
        <v>5</v>
      </c>
      <c r="O14" s="267">
        <f>'2.1. Кач-во пл.пост.налог+ненал'!I14</f>
        <v>5</v>
      </c>
      <c r="P14" s="267">
        <f>'2.2. Качество администр. ост.'!I16</f>
        <v>5</v>
      </c>
      <c r="Q14" s="267">
        <f>'2.3 Кач-во управ. просроч.ДЗ'!I16</f>
        <v>5</v>
      </c>
      <c r="R14" s="267">
        <f>'3.1 Степень достовер.отчет'!I15</f>
        <v>5</v>
      </c>
      <c r="S14" s="267">
        <f>'3.2 Нарушение треб. к бюдж.уч.'!H15</f>
        <v>0</v>
      </c>
      <c r="T14" s="267">
        <f>'4 Наличие на сайте ГМУ'!I15</f>
        <v>5</v>
      </c>
      <c r="U14" s="267">
        <f>'5 Управление активами'!H15</f>
        <v>5</v>
      </c>
      <c r="V14" s="157">
        <f t="shared" si="2"/>
        <v>76.235642988920702</v>
      </c>
      <c r="W14" s="240">
        <v>9</v>
      </c>
      <c r="X14" s="303">
        <f t="shared" si="27"/>
        <v>0.321141703211417</v>
      </c>
      <c r="Y14" s="303">
        <f t="shared" si="3"/>
        <v>1.1675555811352689</v>
      </c>
      <c r="Z14" s="303">
        <f t="shared" si="4"/>
        <v>2.0467864872959884</v>
      </c>
      <c r="AA14" s="301">
        <f t="shared" si="5"/>
        <v>0</v>
      </c>
      <c r="AB14" s="335">
        <f t="shared" si="6"/>
        <v>0.22887323943661997</v>
      </c>
      <c r="AC14" s="303">
        <f t="shared" si="7"/>
        <v>5</v>
      </c>
      <c r="AD14" s="303">
        <f t="shared" si="8"/>
        <v>5</v>
      </c>
      <c r="AE14" s="301">
        <f t="shared" si="9"/>
        <v>0</v>
      </c>
      <c r="AF14" s="301">
        <f t="shared" si="10"/>
        <v>0</v>
      </c>
      <c r="AG14" s="301">
        <f t="shared" si="11"/>
        <v>0</v>
      </c>
      <c r="AH14" s="301">
        <f t="shared" si="12"/>
        <v>0</v>
      </c>
      <c r="AI14" s="301">
        <f t="shared" si="13"/>
        <v>0</v>
      </c>
      <c r="AJ14" s="301">
        <f t="shared" si="14"/>
        <v>0</v>
      </c>
      <c r="AK14" s="301">
        <f t="shared" si="15"/>
        <v>0</v>
      </c>
      <c r="AL14" s="303">
        <f t="shared" si="16"/>
        <v>5</v>
      </c>
      <c r="AM14" s="301">
        <f t="shared" si="17"/>
        <v>0</v>
      </c>
      <c r="AN14" s="301">
        <f t="shared" si="18"/>
        <v>0</v>
      </c>
      <c r="AO14" s="301">
        <f t="shared" si="19"/>
        <v>13.764357011079294</v>
      </c>
      <c r="AP14" s="24">
        <f t="shared" si="20"/>
        <v>22.940595018465491</v>
      </c>
      <c r="AQ14" s="301">
        <f t="shared" si="21"/>
        <v>0</v>
      </c>
      <c r="AR14" s="24">
        <f t="shared" si="22"/>
        <v>0</v>
      </c>
      <c r="AS14" s="301">
        <f t="shared" si="23"/>
        <v>5</v>
      </c>
      <c r="AT14" s="24">
        <f t="shared" si="24"/>
        <v>50</v>
      </c>
      <c r="AU14" s="24">
        <f t="shared" si="25"/>
        <v>0</v>
      </c>
      <c r="AV14" s="24">
        <f t="shared" si="26"/>
        <v>0</v>
      </c>
    </row>
    <row r="15" spans="1:48" ht="31.5" x14ac:dyDescent="0.25">
      <c r="A15" s="34">
        <v>11</v>
      </c>
      <c r="B15" s="32" t="s">
        <v>48</v>
      </c>
      <c r="C15" s="32" t="s">
        <v>49</v>
      </c>
      <c r="D15" s="33" t="s">
        <v>50</v>
      </c>
      <c r="E15" s="208">
        <f>'1.1 Кач. планирования расходов'!I17</f>
        <v>8.9474793733871252</v>
      </c>
      <c r="F15" s="265">
        <f>'1.2. Качество исполнения КП'!AQ17</f>
        <v>4.3868257414736158</v>
      </c>
      <c r="G15" s="198">
        <f>'1.3. Доля неиспользованых БА'!I17</f>
        <v>5</v>
      </c>
      <c r="H15" s="198">
        <f>'1.4 Своевременность принятия БО'!I16</f>
        <v>5</v>
      </c>
      <c r="I15" s="198">
        <f>'1.5 Несоотв. расч-плат док'!I16</f>
        <v>4.7637051039697544</v>
      </c>
      <c r="J15" s="267">
        <f>'1.6 Доля отклоненных ПГЗ'!I16</f>
        <v>0</v>
      </c>
      <c r="K15" s="267">
        <f>'1.7. Эффективность исп. МТ '!I15</f>
        <v>5</v>
      </c>
      <c r="L15" s="267">
        <f>'1.8. Эффект.управл. КЗ'!L16</f>
        <v>5</v>
      </c>
      <c r="M15" s="267">
        <f>'1.9. Налчие просроч.КЗ'!G16</f>
        <v>10</v>
      </c>
      <c r="N15" s="267">
        <f>'1.10 Приостановление операций'!H16</f>
        <v>5</v>
      </c>
      <c r="O15" s="267">
        <f>'2.1. Кач-во пл.пост.налог+ненал'!I15</f>
        <v>5</v>
      </c>
      <c r="P15" s="267">
        <f>'2.2. Качество администр. ост.'!I17</f>
        <v>5</v>
      </c>
      <c r="Q15" s="267">
        <f>'2.3 Кач-во управ. просроч.ДЗ'!I17</f>
        <v>0</v>
      </c>
      <c r="R15" s="267">
        <f>'3.1 Степень достовер.отчет'!I16</f>
        <v>5</v>
      </c>
      <c r="S15" s="267">
        <f>'3.2 Нарушение треб. к бюдж.уч.'!H16</f>
        <v>5</v>
      </c>
      <c r="T15" s="267">
        <f>'4 Наличие на сайте ГМУ'!I16</f>
        <v>5</v>
      </c>
      <c r="U15" s="267">
        <f>'5 Управление активами'!H16</f>
        <v>5</v>
      </c>
      <c r="V15" s="157">
        <f t="shared" si="2"/>
        <v>83.098010218830495</v>
      </c>
      <c r="W15" s="240">
        <v>8</v>
      </c>
      <c r="X15" s="303">
        <f t="shared" si="27"/>
        <v>1.0525206266128748</v>
      </c>
      <c r="Y15" s="303">
        <f t="shared" si="3"/>
        <v>0.61317425852638419</v>
      </c>
      <c r="Z15" s="301">
        <f t="shared" si="4"/>
        <v>0</v>
      </c>
      <c r="AA15" s="301">
        <f t="shared" si="5"/>
        <v>0</v>
      </c>
      <c r="AB15" s="335">
        <f t="shared" si="6"/>
        <v>0.23629489603024556</v>
      </c>
      <c r="AC15" s="303">
        <f t="shared" si="7"/>
        <v>5</v>
      </c>
      <c r="AD15" s="301">
        <f t="shared" si="8"/>
        <v>0</v>
      </c>
      <c r="AE15" s="301">
        <f t="shared" si="9"/>
        <v>0</v>
      </c>
      <c r="AF15" s="301">
        <f t="shared" si="10"/>
        <v>0</v>
      </c>
      <c r="AG15" s="301">
        <f t="shared" si="11"/>
        <v>0</v>
      </c>
      <c r="AH15" s="301">
        <f t="shared" si="12"/>
        <v>0</v>
      </c>
      <c r="AI15" s="301">
        <f t="shared" si="13"/>
        <v>0</v>
      </c>
      <c r="AJ15" s="303">
        <f t="shared" si="14"/>
        <v>5</v>
      </c>
      <c r="AK15" s="301">
        <f t="shared" si="15"/>
        <v>0</v>
      </c>
      <c r="AL15" s="301">
        <f t="shared" si="16"/>
        <v>0</v>
      </c>
      <c r="AM15" s="301">
        <f t="shared" si="17"/>
        <v>0</v>
      </c>
      <c r="AN15" s="301">
        <f t="shared" si="18"/>
        <v>0</v>
      </c>
      <c r="AO15" s="301">
        <f t="shared" si="19"/>
        <v>6.9019897811695046</v>
      </c>
      <c r="AP15" s="24">
        <f t="shared" si="20"/>
        <v>11.503316301949175</v>
      </c>
      <c r="AQ15" s="301">
        <f t="shared" si="21"/>
        <v>5</v>
      </c>
      <c r="AR15" s="492">
        <f t="shared" si="22"/>
        <v>33.333333333333329</v>
      </c>
      <c r="AS15" s="301">
        <f t="shared" si="23"/>
        <v>0</v>
      </c>
      <c r="AT15" s="24">
        <f t="shared" si="24"/>
        <v>0</v>
      </c>
      <c r="AU15" s="24">
        <f t="shared" si="25"/>
        <v>0</v>
      </c>
      <c r="AV15" s="24">
        <f t="shared" si="26"/>
        <v>0</v>
      </c>
    </row>
    <row r="16" spans="1:48" ht="37.9" customHeight="1" thickBot="1" x14ac:dyDescent="0.3">
      <c r="A16" s="270" t="s">
        <v>38</v>
      </c>
      <c r="B16" s="271" t="s">
        <v>51</v>
      </c>
      <c r="C16" s="271" t="s">
        <v>52</v>
      </c>
      <c r="D16" s="272" t="s">
        <v>53</v>
      </c>
      <c r="E16" s="255">
        <f>'1.1 Кач. планирования расходов'!I18</f>
        <v>9.9699322723707002</v>
      </c>
      <c r="F16" s="268">
        <f>'1.2. Качество исполнения КП'!AQ18</f>
        <v>4.3582962477670879</v>
      </c>
      <c r="G16" s="269">
        <f>'1.3. Доля неиспользованых БА'!I18</f>
        <v>5</v>
      </c>
      <c r="H16" s="269">
        <f>'1.4 Своевременность принятия БО'!I17</f>
        <v>5</v>
      </c>
      <c r="I16" s="269">
        <f>'1.5 Несоотв. расч-плат док'!I17</f>
        <v>4.9379932356257044</v>
      </c>
      <c r="J16" s="273">
        <f>'1.6 Доля отклоненных ПГЗ'!I17</f>
        <v>0</v>
      </c>
      <c r="K16" s="273">
        <f>'1.7. Эффективность исп. МТ '!I16</f>
        <v>5</v>
      </c>
      <c r="L16" s="273">
        <f>'1.8. Эффект.управл. КЗ'!L17</f>
        <v>5</v>
      </c>
      <c r="M16" s="273">
        <f>'1.9. Налчие просроч.КЗ'!G17</f>
        <v>10</v>
      </c>
      <c r="N16" s="273">
        <f>'1.10 Приостановление операций'!H17</f>
        <v>5</v>
      </c>
      <c r="O16" s="273">
        <f>'2.1. Кач-во пл.пост.налог+ненал'!I16</f>
        <v>5</v>
      </c>
      <c r="P16" s="273">
        <f>'2.2. Качество администр. ост.'!I18</f>
        <v>5</v>
      </c>
      <c r="Q16" s="273">
        <f>'2.3 Кач-во управ. просроч.ДЗ'!I18</f>
        <v>0.55898603266598546</v>
      </c>
      <c r="R16" s="273">
        <f>'3.1 Степень достовер.отчет'!I17</f>
        <v>5</v>
      </c>
      <c r="S16" s="273">
        <f>'3.2 Нарушение треб. к бюдж.уч.'!H17</f>
        <v>5</v>
      </c>
      <c r="T16" s="273">
        <f>'4 Наличие на сайте ГМУ'!I17</f>
        <v>5</v>
      </c>
      <c r="U16" s="267">
        <f>'5 Управление активами'!H17</f>
        <v>5</v>
      </c>
      <c r="V16" s="274">
        <f t="shared" si="2"/>
        <v>84.825207788429481</v>
      </c>
      <c r="W16" s="276">
        <v>7</v>
      </c>
      <c r="X16" s="301">
        <f t="shared" si="27"/>
        <v>3.0067727629299768E-2</v>
      </c>
      <c r="Y16" s="303">
        <f t="shared" si="3"/>
        <v>0.64170375223291209</v>
      </c>
      <c r="Z16" s="301">
        <f t="shared" si="4"/>
        <v>0</v>
      </c>
      <c r="AA16" s="301">
        <f t="shared" si="5"/>
        <v>0</v>
      </c>
      <c r="AB16" s="335">
        <f t="shared" si="6"/>
        <v>6.2006764374295642E-2</v>
      </c>
      <c r="AC16" s="303">
        <f t="shared" si="7"/>
        <v>5</v>
      </c>
      <c r="AD16" s="301">
        <f t="shared" si="8"/>
        <v>0</v>
      </c>
      <c r="AE16" s="301">
        <f t="shared" si="9"/>
        <v>0</v>
      </c>
      <c r="AF16" s="301">
        <f t="shared" si="10"/>
        <v>0</v>
      </c>
      <c r="AG16" s="301">
        <f t="shared" si="11"/>
        <v>0</v>
      </c>
      <c r="AH16" s="301">
        <f t="shared" si="12"/>
        <v>0</v>
      </c>
      <c r="AI16" s="301">
        <f t="shared" si="13"/>
        <v>0</v>
      </c>
      <c r="AJ16" s="303">
        <f t="shared" si="14"/>
        <v>4.4410139673340145</v>
      </c>
      <c r="AK16" s="301">
        <f t="shared" si="15"/>
        <v>0</v>
      </c>
      <c r="AL16" s="301">
        <f t="shared" si="16"/>
        <v>0</v>
      </c>
      <c r="AM16" s="301">
        <f t="shared" si="17"/>
        <v>0</v>
      </c>
      <c r="AN16" s="301">
        <f t="shared" si="18"/>
        <v>0</v>
      </c>
      <c r="AO16" s="301">
        <f t="shared" si="19"/>
        <v>5.7337782442365075</v>
      </c>
      <c r="AP16" s="24">
        <f t="shared" si="20"/>
        <v>9.5562970737275119</v>
      </c>
      <c r="AQ16" s="301">
        <f t="shared" si="21"/>
        <v>4.4410139673340145</v>
      </c>
      <c r="AR16" s="492">
        <f>AQ16/15*100</f>
        <v>29.606759782226767</v>
      </c>
      <c r="AS16" s="301">
        <f t="shared" si="23"/>
        <v>0</v>
      </c>
      <c r="AT16" s="24">
        <f t="shared" si="24"/>
        <v>0</v>
      </c>
      <c r="AU16" s="24">
        <f t="shared" si="25"/>
        <v>0</v>
      </c>
      <c r="AV16" s="24">
        <f t="shared" si="26"/>
        <v>0</v>
      </c>
    </row>
    <row r="17" spans="1:23" s="38" customFormat="1" x14ac:dyDescent="0.25">
      <c r="A17" s="485" t="s">
        <v>217</v>
      </c>
      <c r="B17" s="486"/>
      <c r="C17" s="486"/>
      <c r="D17" s="487"/>
      <c r="E17" s="343">
        <f>SUM(E5:E16)</f>
        <v>115.66048259524737</v>
      </c>
      <c r="F17" s="343">
        <f t="shared" ref="F17:T17" si="28">SUM(F5:F16)</f>
        <v>50.247862728908053</v>
      </c>
      <c r="G17" s="343">
        <f t="shared" si="28"/>
        <v>51.114585151587107</v>
      </c>
      <c r="H17" s="343">
        <f t="shared" si="28"/>
        <v>60</v>
      </c>
      <c r="I17" s="343">
        <f t="shared" si="28"/>
        <v>53.403936999073814</v>
      </c>
      <c r="J17" s="343">
        <f t="shared" si="28"/>
        <v>29.795747062115275</v>
      </c>
      <c r="K17" s="343">
        <f t="shared" si="28"/>
        <v>50</v>
      </c>
      <c r="L17" s="343">
        <f t="shared" si="28"/>
        <v>59.876500116128945</v>
      </c>
      <c r="M17" s="343">
        <f t="shared" si="28"/>
        <v>120</v>
      </c>
      <c r="N17" s="343">
        <f t="shared" si="28"/>
        <v>60</v>
      </c>
      <c r="O17" s="343">
        <f t="shared" si="28"/>
        <v>52.5</v>
      </c>
      <c r="P17" s="343">
        <f t="shared" si="28"/>
        <v>60</v>
      </c>
      <c r="Q17" s="343">
        <f t="shared" si="28"/>
        <v>36.202481617986969</v>
      </c>
      <c r="R17" s="343">
        <f t="shared" si="28"/>
        <v>53.25</v>
      </c>
      <c r="S17" s="343">
        <f t="shared" si="28"/>
        <v>40</v>
      </c>
      <c r="T17" s="343">
        <f t="shared" si="28"/>
        <v>60</v>
      </c>
      <c r="U17" s="343">
        <f t="shared" ref="U17" si="29">SUM(U5:U16)</f>
        <v>60</v>
      </c>
      <c r="V17" s="346">
        <f t="shared" ref="V17" si="30">SUM(V5:V16)</f>
        <v>1012.0515962710474</v>
      </c>
      <c r="W17" s="344"/>
    </row>
    <row r="18" spans="1:23" s="38" customFormat="1" x14ac:dyDescent="0.25">
      <c r="A18" s="488" t="s">
        <v>204</v>
      </c>
      <c r="B18" s="489"/>
      <c r="C18" s="489"/>
      <c r="D18" s="490"/>
      <c r="E18" s="299">
        <f>E17/12</f>
        <v>9.6383735496039478</v>
      </c>
      <c r="F18" s="299">
        <f t="shared" ref="F18:U18" si="31">F17/12</f>
        <v>4.1873218940756711</v>
      </c>
      <c r="G18" s="299">
        <f t="shared" si="31"/>
        <v>4.2595487626322592</v>
      </c>
      <c r="H18" s="299">
        <f t="shared" si="31"/>
        <v>5</v>
      </c>
      <c r="I18" s="299">
        <f t="shared" si="31"/>
        <v>4.4503280832561511</v>
      </c>
      <c r="J18" s="299">
        <f t="shared" si="31"/>
        <v>2.4829789218429394</v>
      </c>
      <c r="K18" s="299">
        <f t="shared" si="31"/>
        <v>4.166666666666667</v>
      </c>
      <c r="L18" s="299">
        <f t="shared" si="31"/>
        <v>4.9897083430107454</v>
      </c>
      <c r="M18" s="299">
        <f t="shared" si="31"/>
        <v>10</v>
      </c>
      <c r="N18" s="299">
        <f t="shared" si="31"/>
        <v>5</v>
      </c>
      <c r="O18" s="299">
        <f t="shared" si="31"/>
        <v>4.375</v>
      </c>
      <c r="P18" s="299">
        <f t="shared" si="31"/>
        <v>5</v>
      </c>
      <c r="Q18" s="299">
        <f t="shared" si="31"/>
        <v>3.0168734681655809</v>
      </c>
      <c r="R18" s="299">
        <f t="shared" si="31"/>
        <v>4.4375</v>
      </c>
      <c r="S18" s="299">
        <f t="shared" si="31"/>
        <v>3.3333333333333335</v>
      </c>
      <c r="T18" s="299">
        <f t="shared" si="31"/>
        <v>5</v>
      </c>
      <c r="U18" s="299">
        <f t="shared" si="31"/>
        <v>5</v>
      </c>
      <c r="V18" s="347">
        <f>V17/12</f>
        <v>84.337633022587283</v>
      </c>
      <c r="W18" s="345"/>
    </row>
    <row r="19" spans="1:23" ht="15.6" x14ac:dyDescent="0.3">
      <c r="A19" s="15"/>
      <c r="B19" s="15"/>
      <c r="C19" s="15"/>
      <c r="D19" s="15"/>
      <c r="E19" s="15"/>
      <c r="F19" s="15"/>
    </row>
    <row r="20" spans="1:23" s="17" customFormat="1" ht="18.75" x14ac:dyDescent="0.3">
      <c r="A20" s="477" t="s">
        <v>219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</row>
    <row r="21" spans="1:23" s="17" customFormat="1" ht="15.6" x14ac:dyDescent="0.3">
      <c r="A21" s="376"/>
      <c r="B21" s="377"/>
      <c r="C21" s="378"/>
    </row>
    <row r="22" spans="1:23" ht="15.6" x14ac:dyDescent="0.3">
      <c r="A22" s="15"/>
      <c r="B22" s="15"/>
      <c r="C22" s="15"/>
      <c r="D22" s="15"/>
      <c r="E22" s="15"/>
      <c r="F22" s="15"/>
    </row>
    <row r="23" spans="1:23" s="17" customFormat="1" ht="15.6" x14ac:dyDescent="0.3">
      <c r="A23" s="41"/>
      <c r="B23" s="41"/>
      <c r="C23" s="15"/>
      <c r="D23" s="26"/>
      <c r="E23" s="26"/>
      <c r="F23" s="15"/>
    </row>
  </sheetData>
  <mergeCells count="13">
    <mergeCell ref="V3:V4"/>
    <mergeCell ref="A1:W1"/>
    <mergeCell ref="W3:W4"/>
    <mergeCell ref="A20:W20"/>
    <mergeCell ref="A21:C21"/>
    <mergeCell ref="A3:A4"/>
    <mergeCell ref="B3:B4"/>
    <mergeCell ref="C3:C4"/>
    <mergeCell ref="D3:D4"/>
    <mergeCell ref="E3:U3"/>
    <mergeCell ref="A17:D17"/>
    <mergeCell ref="A18:D18"/>
    <mergeCell ref="A2:W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4"/>
  <sheetViews>
    <sheetView view="pageBreakPreview" topLeftCell="AC1" zoomScale="50" zoomScaleNormal="100" zoomScaleSheetLayoutView="50" workbookViewId="0">
      <selection activeCell="AQ20" sqref="AQ20"/>
    </sheetView>
  </sheetViews>
  <sheetFormatPr defaultRowHeight="15" x14ac:dyDescent="0.25"/>
  <cols>
    <col min="1" max="1" width="4.28515625" customWidth="1"/>
    <col min="2" max="2" width="6.7109375" customWidth="1"/>
    <col min="3" max="3" width="13.28515625" customWidth="1"/>
    <col min="4" max="4" width="29.5703125" customWidth="1"/>
    <col min="5" max="5" width="16.85546875" customWidth="1"/>
    <col min="6" max="6" width="16.5703125" customWidth="1"/>
    <col min="7" max="7" width="13.5703125" customWidth="1"/>
    <col min="8" max="8" width="17" customWidth="1"/>
    <col min="9" max="10" width="15" customWidth="1"/>
    <col min="11" max="11" width="16.85546875" customWidth="1"/>
    <col min="12" max="12" width="17.42578125" customWidth="1"/>
    <col min="13" max="13" width="14.42578125" customWidth="1"/>
    <col min="14" max="14" width="15.140625" customWidth="1"/>
    <col min="15" max="16" width="15.5703125" customWidth="1"/>
    <col min="17" max="17" width="17" customWidth="1"/>
    <col min="18" max="19" width="16.5703125" customWidth="1"/>
    <col min="20" max="20" width="16.28515625" customWidth="1"/>
    <col min="21" max="22" width="16" customWidth="1"/>
    <col min="23" max="23" width="15.85546875" customWidth="1"/>
    <col min="24" max="26" width="16.42578125" customWidth="1"/>
    <col min="27" max="28" width="16.5703125" customWidth="1"/>
    <col min="29" max="29" width="17" customWidth="1"/>
    <col min="30" max="31" width="15.85546875" customWidth="1"/>
    <col min="32" max="32" width="16.5703125" customWidth="1"/>
    <col min="33" max="34" width="16" customWidth="1"/>
    <col min="35" max="35" width="15.85546875" customWidth="1"/>
    <col min="36" max="37" width="16.85546875" customWidth="1"/>
    <col min="38" max="38" width="15.85546875" customWidth="1"/>
    <col min="39" max="40" width="16.140625" customWidth="1"/>
    <col min="41" max="41" width="17.5703125" customWidth="1"/>
    <col min="42" max="42" width="27.5703125" customWidth="1"/>
    <col min="43" max="43" width="14" customWidth="1"/>
    <col min="45" max="45" width="16.140625" customWidth="1"/>
    <col min="46" max="46" width="16.85546875" customWidth="1"/>
  </cols>
  <sheetData>
    <row r="2" spans="1:46" x14ac:dyDescent="0.25">
      <c r="A2" s="405" t="s">
        <v>211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</row>
    <row r="3" spans="1:46" ht="16.149999999999999" thickBot="1" x14ac:dyDescent="0.35">
      <c r="A3" s="24"/>
      <c r="B3" s="24"/>
      <c r="C3" s="24"/>
      <c r="D3" s="253"/>
      <c r="E3" s="381"/>
      <c r="F3" s="381"/>
      <c r="G3" s="260"/>
      <c r="H3" s="254"/>
      <c r="I3" s="254"/>
      <c r="J3" s="260"/>
      <c r="K3" s="254"/>
      <c r="L3" s="254"/>
      <c r="M3" s="260"/>
      <c r="N3" s="254"/>
      <c r="O3" s="254"/>
      <c r="P3" s="260"/>
      <c r="Q3" s="254"/>
      <c r="R3" s="254"/>
      <c r="S3" s="260"/>
      <c r="T3" s="254"/>
      <c r="U3" s="254"/>
      <c r="V3" s="260"/>
      <c r="W3" s="254"/>
      <c r="X3" s="254"/>
      <c r="Y3" s="260"/>
      <c r="Z3" s="254"/>
      <c r="AA3" s="254"/>
      <c r="AB3" s="260"/>
      <c r="AC3" s="254"/>
      <c r="AD3" s="254"/>
      <c r="AE3" s="260"/>
      <c r="AF3" s="254"/>
      <c r="AG3" s="254"/>
      <c r="AH3" s="260"/>
      <c r="AI3" s="254"/>
      <c r="AJ3" s="254"/>
      <c r="AK3" s="260"/>
      <c r="AL3" s="254"/>
      <c r="AM3" s="254"/>
      <c r="AN3" s="260"/>
      <c r="AO3" s="17"/>
      <c r="AP3" s="17"/>
      <c r="AQ3" s="17"/>
    </row>
    <row r="4" spans="1:46" ht="31.9" customHeight="1" thickBot="1" x14ac:dyDescent="0.3">
      <c r="A4" s="411" t="s">
        <v>1</v>
      </c>
      <c r="B4" s="382" t="s">
        <v>116</v>
      </c>
      <c r="C4" s="382" t="s">
        <v>2</v>
      </c>
      <c r="D4" s="382" t="s">
        <v>3</v>
      </c>
      <c r="E4" s="396" t="s">
        <v>212</v>
      </c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263"/>
      <c r="AO4" s="403" t="s">
        <v>80</v>
      </c>
      <c r="AP4" s="394" t="s">
        <v>73</v>
      </c>
      <c r="AQ4" s="383" t="s">
        <v>58</v>
      </c>
    </row>
    <row r="5" spans="1:46" ht="31.9" customHeight="1" thickBot="1" x14ac:dyDescent="0.3">
      <c r="A5" s="412"/>
      <c r="B5" s="409"/>
      <c r="C5" s="409"/>
      <c r="D5" s="407"/>
      <c r="E5" s="414" t="s">
        <v>169</v>
      </c>
      <c r="F5" s="415"/>
      <c r="G5" s="416"/>
      <c r="H5" s="398" t="s">
        <v>170</v>
      </c>
      <c r="I5" s="399"/>
      <c r="J5" s="400"/>
      <c r="K5" s="398" t="s">
        <v>171</v>
      </c>
      <c r="L5" s="399"/>
      <c r="M5" s="400"/>
      <c r="N5" s="398" t="s">
        <v>172</v>
      </c>
      <c r="O5" s="399"/>
      <c r="P5" s="400"/>
      <c r="Q5" s="398" t="s">
        <v>173</v>
      </c>
      <c r="R5" s="399"/>
      <c r="S5" s="400"/>
      <c r="T5" s="398" t="s">
        <v>174</v>
      </c>
      <c r="U5" s="399"/>
      <c r="V5" s="400"/>
      <c r="W5" s="398" t="s">
        <v>175</v>
      </c>
      <c r="X5" s="399"/>
      <c r="Y5" s="400"/>
      <c r="Z5" s="398" t="s">
        <v>176</v>
      </c>
      <c r="AA5" s="399"/>
      <c r="AB5" s="400"/>
      <c r="AC5" s="398" t="s">
        <v>177</v>
      </c>
      <c r="AD5" s="399"/>
      <c r="AE5" s="400"/>
      <c r="AF5" s="398" t="s">
        <v>205</v>
      </c>
      <c r="AG5" s="399"/>
      <c r="AH5" s="400"/>
      <c r="AI5" s="398" t="s">
        <v>178</v>
      </c>
      <c r="AJ5" s="399"/>
      <c r="AK5" s="399"/>
      <c r="AL5" s="401" t="s">
        <v>179</v>
      </c>
      <c r="AM5" s="399"/>
      <c r="AN5" s="402"/>
      <c r="AO5" s="404"/>
      <c r="AP5" s="395"/>
      <c r="AQ5" s="384"/>
    </row>
    <row r="6" spans="1:46" ht="51" customHeight="1" thickBot="1" x14ac:dyDescent="0.3">
      <c r="A6" s="413"/>
      <c r="B6" s="410"/>
      <c r="C6" s="410"/>
      <c r="D6" s="408"/>
      <c r="E6" s="169" t="s">
        <v>99</v>
      </c>
      <c r="F6" s="171" t="s">
        <v>100</v>
      </c>
      <c r="G6" s="171"/>
      <c r="H6" s="170" t="s">
        <v>99</v>
      </c>
      <c r="I6" s="171" t="s">
        <v>100</v>
      </c>
      <c r="J6" s="171"/>
      <c r="K6" s="170" t="s">
        <v>99</v>
      </c>
      <c r="L6" s="171" t="s">
        <v>100</v>
      </c>
      <c r="M6" s="171"/>
      <c r="N6" s="170" t="s">
        <v>99</v>
      </c>
      <c r="O6" s="171" t="s">
        <v>100</v>
      </c>
      <c r="P6" s="171"/>
      <c r="Q6" s="170" t="s">
        <v>99</v>
      </c>
      <c r="R6" s="171" t="s">
        <v>100</v>
      </c>
      <c r="S6" s="171"/>
      <c r="T6" s="170" t="s">
        <v>99</v>
      </c>
      <c r="U6" s="171" t="s">
        <v>100</v>
      </c>
      <c r="V6" s="171"/>
      <c r="W6" s="170" t="s">
        <v>99</v>
      </c>
      <c r="X6" s="171" t="s">
        <v>100</v>
      </c>
      <c r="Y6" s="171"/>
      <c r="Z6" s="170" t="s">
        <v>99</v>
      </c>
      <c r="AA6" s="171" t="s">
        <v>100</v>
      </c>
      <c r="AB6" s="171"/>
      <c r="AC6" s="170" t="s">
        <v>99</v>
      </c>
      <c r="AD6" s="171" t="s">
        <v>100</v>
      </c>
      <c r="AE6" s="171"/>
      <c r="AF6" s="170" t="s">
        <v>99</v>
      </c>
      <c r="AG6" s="171" t="s">
        <v>100</v>
      </c>
      <c r="AH6" s="171"/>
      <c r="AI6" s="170" t="s">
        <v>99</v>
      </c>
      <c r="AJ6" s="171" t="s">
        <v>100</v>
      </c>
      <c r="AK6" s="171"/>
      <c r="AL6" s="170" t="s">
        <v>99</v>
      </c>
      <c r="AM6" s="264" t="s">
        <v>100</v>
      </c>
      <c r="AN6" s="173"/>
      <c r="AO6" s="261" t="s">
        <v>180</v>
      </c>
      <c r="AP6" s="178" t="s">
        <v>181</v>
      </c>
      <c r="AQ6" s="385"/>
    </row>
    <row r="7" spans="1:46" ht="31.15" customHeight="1" thickBot="1" x14ac:dyDescent="0.3">
      <c r="A7" s="190" t="s">
        <v>9</v>
      </c>
      <c r="B7" s="191" t="s">
        <v>10</v>
      </c>
      <c r="C7" s="284" t="s">
        <v>11</v>
      </c>
      <c r="D7" s="289" t="s">
        <v>12</v>
      </c>
      <c r="E7" s="286">
        <v>105386</v>
      </c>
      <c r="F7" s="292">
        <v>105386</v>
      </c>
      <c r="G7" s="236">
        <f>F7/E7</f>
        <v>1</v>
      </c>
      <c r="H7" s="279">
        <v>377465.46</v>
      </c>
      <c r="I7" s="180">
        <v>377465.46</v>
      </c>
      <c r="J7" s="236">
        <f>I7/H7</f>
        <v>1</v>
      </c>
      <c r="K7" s="279">
        <v>562261.18000000005</v>
      </c>
      <c r="L7" s="180">
        <v>562261.18000000005</v>
      </c>
      <c r="M7" s="236">
        <f>L7/K7</f>
        <v>1</v>
      </c>
      <c r="N7" s="279">
        <v>499963.08</v>
      </c>
      <c r="O7" s="180">
        <v>499963.08</v>
      </c>
      <c r="P7" s="236">
        <f t="shared" ref="P7:P18" si="0">O7/N7</f>
        <v>1</v>
      </c>
      <c r="Q7" s="279">
        <v>321584.05</v>
      </c>
      <c r="R7" s="180">
        <v>321584.05</v>
      </c>
      <c r="S7" s="236">
        <f t="shared" ref="S7:S17" si="1">R7/Q7</f>
        <v>1</v>
      </c>
      <c r="T7" s="279">
        <v>577432.02</v>
      </c>
      <c r="U7" s="180">
        <v>577432.02</v>
      </c>
      <c r="V7" s="236">
        <f t="shared" ref="V7:V18" si="2">U7/T7</f>
        <v>1</v>
      </c>
      <c r="W7" s="279">
        <v>342766.9</v>
      </c>
      <c r="X7" s="180">
        <v>342766.9</v>
      </c>
      <c r="Y7" s="236">
        <f t="shared" ref="Y7:Y18" si="3">X7/W7</f>
        <v>1</v>
      </c>
      <c r="Z7" s="279">
        <v>342036.07</v>
      </c>
      <c r="AA7" s="180">
        <v>342036.07</v>
      </c>
      <c r="AB7" s="236">
        <f t="shared" ref="AB7:AB18" si="4">AA7/Z7</f>
        <v>1</v>
      </c>
      <c r="AC7" s="279">
        <v>540319.24</v>
      </c>
      <c r="AD7" s="180">
        <v>538065.93000000005</v>
      </c>
      <c r="AE7" s="236">
        <f t="shared" ref="AE7:AE18" si="5">AD7/AC7</f>
        <v>0.99582966914152471</v>
      </c>
      <c r="AF7" s="279">
        <v>460000</v>
      </c>
      <c r="AG7" s="180">
        <v>313599.44</v>
      </c>
      <c r="AH7" s="236">
        <f t="shared" ref="AH7:AH17" si="6">AG7/AF7</f>
        <v>0.68173791304347831</v>
      </c>
      <c r="AI7" s="279">
        <v>400000</v>
      </c>
      <c r="AJ7" s="180">
        <v>289688.34000000003</v>
      </c>
      <c r="AK7" s="236">
        <f t="shared" ref="AK7:AK18" si="7">AJ7/AI7</f>
        <v>0.72422085000000003</v>
      </c>
      <c r="AL7" s="279">
        <v>538286</v>
      </c>
      <c r="AM7" s="180">
        <v>797143.79</v>
      </c>
      <c r="AN7" s="236">
        <v>1</v>
      </c>
      <c r="AO7" s="295">
        <f>((G7+J7+M7+P7+S7+V7+AB7+AE7+AH7+AK7+AN7)/12)*100</f>
        <v>86.681570268208361</v>
      </c>
      <c r="AP7" s="293">
        <f>AO7/100</f>
        <v>0.86681570268208363</v>
      </c>
      <c r="AQ7" s="7">
        <f>AP7*5</f>
        <v>4.3340785134104181</v>
      </c>
      <c r="AS7" s="294">
        <f>E7+H7+K7+N7+Q7+T7+W7+Z7+AC7+AF7+AI7+AL7</f>
        <v>5067500</v>
      </c>
      <c r="AT7" s="294">
        <f>F7+I7+L7+O7+R7+U7+X7+AA7+AD7+AG7+AJ7+AM7</f>
        <v>5067392.26</v>
      </c>
    </row>
    <row r="8" spans="1:46" ht="26.25" thickBot="1" x14ac:dyDescent="0.3">
      <c r="A8" s="192" t="s">
        <v>16</v>
      </c>
      <c r="B8" s="193" t="s">
        <v>13</v>
      </c>
      <c r="C8" s="285" t="s">
        <v>14</v>
      </c>
      <c r="D8" s="290" t="s">
        <v>15</v>
      </c>
      <c r="E8" s="286">
        <v>10024195.75</v>
      </c>
      <c r="F8" s="262">
        <v>9422895.75</v>
      </c>
      <c r="G8" s="236">
        <f>F8/E8</f>
        <v>0.94001513787278146</v>
      </c>
      <c r="H8" s="279">
        <v>56418237.390000001</v>
      </c>
      <c r="I8" s="180">
        <v>56336667.25</v>
      </c>
      <c r="J8" s="236">
        <f t="shared" ref="J8:J17" si="8">I8/H8</f>
        <v>0.99855418843669053</v>
      </c>
      <c r="K8" s="279">
        <v>67372370.159999996</v>
      </c>
      <c r="L8" s="180">
        <v>53949223.009999998</v>
      </c>
      <c r="M8" s="236">
        <f t="shared" ref="M8:M18" si="9">L8/K8</f>
        <v>0.80076183874603357</v>
      </c>
      <c r="N8" s="279">
        <v>71062463.549999997</v>
      </c>
      <c r="O8" s="180">
        <v>69217855.870000005</v>
      </c>
      <c r="P8" s="236">
        <f t="shared" si="0"/>
        <v>0.97404244677357532</v>
      </c>
      <c r="Q8" s="279">
        <v>35292646.340000004</v>
      </c>
      <c r="R8" s="180">
        <v>45175245.909999996</v>
      </c>
      <c r="S8" s="236">
        <v>1</v>
      </c>
      <c r="T8" s="279">
        <v>39184550.93</v>
      </c>
      <c r="U8" s="180">
        <v>39335723.020000003</v>
      </c>
      <c r="V8" s="236">
        <f t="shared" si="2"/>
        <v>1.0038579513204084</v>
      </c>
      <c r="W8" s="279">
        <v>63657540.520000003</v>
      </c>
      <c r="X8" s="180">
        <v>62304169.170000002</v>
      </c>
      <c r="Y8" s="236">
        <f t="shared" si="3"/>
        <v>0.97873981088580075</v>
      </c>
      <c r="Z8" s="279">
        <v>49454936.409999996</v>
      </c>
      <c r="AA8" s="180">
        <v>49164124.420000002</v>
      </c>
      <c r="AB8" s="236">
        <f t="shared" si="4"/>
        <v>0.99411965698248894</v>
      </c>
      <c r="AC8" s="279">
        <v>85959469.489999995</v>
      </c>
      <c r="AD8" s="180">
        <v>85344490.989999995</v>
      </c>
      <c r="AE8" s="236">
        <f t="shared" si="5"/>
        <v>0.9928457155023328</v>
      </c>
      <c r="AF8" s="279">
        <v>68002833.200000003</v>
      </c>
      <c r="AG8" s="180">
        <v>63419287.229999997</v>
      </c>
      <c r="AH8" s="236">
        <f t="shared" si="6"/>
        <v>0.93259772050203338</v>
      </c>
      <c r="AI8" s="279">
        <v>42581202.439999998</v>
      </c>
      <c r="AJ8" s="180">
        <v>31481654.23</v>
      </c>
      <c r="AK8" s="236">
        <f t="shared" si="7"/>
        <v>0.73933220355531137</v>
      </c>
      <c r="AL8" s="279">
        <v>67158853.819999993</v>
      </c>
      <c r="AM8" s="180">
        <v>58591680.299999997</v>
      </c>
      <c r="AN8" s="236">
        <f t="shared" ref="AN8:AN16" si="10">AM8/AL8</f>
        <v>0.87243419098601882</v>
      </c>
      <c r="AO8" s="295">
        <f t="shared" ref="AO8:AO18" si="11">((G8+J8+M8+P8+S8+V8+AB8+AE8+AH8+AK8+AN8)/12)*100</f>
        <v>85.404675422313943</v>
      </c>
      <c r="AP8" s="293">
        <f t="shared" ref="AP8:AP18" si="12">AO8/100</f>
        <v>0.85404675422313947</v>
      </c>
      <c r="AQ8" s="11">
        <f>AP8*5</f>
        <v>4.2702337711156977</v>
      </c>
      <c r="AS8" s="294">
        <f>E8+H8+K8+N8+Q8+T8+W8+Z8+AC8+AF8+AI8+AL8</f>
        <v>656169300</v>
      </c>
      <c r="AT8" s="294">
        <f t="shared" ref="AT8:AT19" si="13">F8+I8+L8+O8+R8+U8+X8+AA8+AD8+AG8+AJ8+AM8</f>
        <v>623743017.14999998</v>
      </c>
    </row>
    <row r="9" spans="1:46" ht="26.25" thickBot="1" x14ac:dyDescent="0.3">
      <c r="A9" s="192" t="s">
        <v>17</v>
      </c>
      <c r="B9" s="193" t="s">
        <v>23</v>
      </c>
      <c r="C9" s="285" t="s">
        <v>24</v>
      </c>
      <c r="D9" s="290" t="s">
        <v>25</v>
      </c>
      <c r="E9" s="287">
        <v>2260000</v>
      </c>
      <c r="F9" s="181">
        <v>2170009.13</v>
      </c>
      <c r="G9" s="236">
        <f t="shared" ref="G9:G18" si="14">F9/E9</f>
        <v>0.96018103097345131</v>
      </c>
      <c r="H9" s="280">
        <v>1740000</v>
      </c>
      <c r="I9" s="281">
        <v>1580890.44</v>
      </c>
      <c r="J9" s="236">
        <f t="shared" si="8"/>
        <v>0.90855772413793101</v>
      </c>
      <c r="K9" s="280">
        <v>1790600</v>
      </c>
      <c r="L9" s="281">
        <v>1615154.42</v>
      </c>
      <c r="M9" s="236">
        <f t="shared" si="9"/>
        <v>0.90201855244052265</v>
      </c>
      <c r="N9" s="280">
        <v>2408000</v>
      </c>
      <c r="O9" s="281">
        <v>2560106.39</v>
      </c>
      <c r="P9" s="236">
        <v>1</v>
      </c>
      <c r="Q9" s="280">
        <v>1725000</v>
      </c>
      <c r="R9" s="281">
        <v>1591969.03</v>
      </c>
      <c r="S9" s="236">
        <f t="shared" si="1"/>
        <v>0.92288059710144932</v>
      </c>
      <c r="T9" s="280">
        <v>1812750</v>
      </c>
      <c r="U9" s="281">
        <v>1715477.71</v>
      </c>
      <c r="V9" s="236">
        <f t="shared" si="2"/>
        <v>0.94633993104399394</v>
      </c>
      <c r="W9" s="280">
        <v>2503000</v>
      </c>
      <c r="X9" s="281">
        <v>2835784.2</v>
      </c>
      <c r="Y9" s="236">
        <v>1</v>
      </c>
      <c r="Z9" s="280">
        <v>1593000</v>
      </c>
      <c r="AA9" s="281">
        <v>1651008.27</v>
      </c>
      <c r="AB9" s="236">
        <v>1</v>
      </c>
      <c r="AC9" s="280">
        <v>1812750</v>
      </c>
      <c r="AD9" s="281">
        <v>1492477.54</v>
      </c>
      <c r="AE9" s="236">
        <f t="shared" si="5"/>
        <v>0.8233223224382844</v>
      </c>
      <c r="AF9" s="280">
        <v>2712000</v>
      </c>
      <c r="AG9" s="281">
        <v>2459544.66</v>
      </c>
      <c r="AH9" s="236">
        <f t="shared" si="6"/>
        <v>0.90691174778761063</v>
      </c>
      <c r="AI9" s="280">
        <v>2056600</v>
      </c>
      <c r="AJ9" s="281">
        <v>1496665.11</v>
      </c>
      <c r="AK9" s="236">
        <f t="shared" si="7"/>
        <v>0.72773758144510359</v>
      </c>
      <c r="AL9" s="280">
        <v>1150300</v>
      </c>
      <c r="AM9" s="281">
        <v>2394911.5499999998</v>
      </c>
      <c r="AN9" s="236">
        <v>1</v>
      </c>
      <c r="AO9" s="295">
        <f t="shared" si="11"/>
        <v>84.149579061402889</v>
      </c>
      <c r="AP9" s="293">
        <f t="shared" si="12"/>
        <v>0.8414957906140289</v>
      </c>
      <c r="AQ9" s="11">
        <f t="shared" ref="AQ9:AQ18" si="15">AP9*5</f>
        <v>4.2074789530701446</v>
      </c>
      <c r="AS9" s="294">
        <f t="shared" ref="AS9:AS18" si="16">E9+H9+K9+N9+Q9+T9+W9+Z9+AC9+AF9+AI9+AL9</f>
        <v>23564000</v>
      </c>
      <c r="AT9" s="294">
        <f t="shared" si="13"/>
        <v>23563998.449999999</v>
      </c>
    </row>
    <row r="10" spans="1:46" ht="30" customHeight="1" thickBot="1" x14ac:dyDescent="0.3">
      <c r="A10" s="192" t="s">
        <v>18</v>
      </c>
      <c r="B10" s="193" t="s">
        <v>26</v>
      </c>
      <c r="C10" s="285" t="s">
        <v>27</v>
      </c>
      <c r="D10" s="290" t="s">
        <v>28</v>
      </c>
      <c r="E10" s="287">
        <v>50000</v>
      </c>
      <c r="F10" s="181">
        <v>50000</v>
      </c>
      <c r="G10" s="236">
        <f t="shared" si="14"/>
        <v>1</v>
      </c>
      <c r="H10" s="280">
        <v>183159.17</v>
      </c>
      <c r="I10" s="281">
        <v>183159.17</v>
      </c>
      <c r="J10" s="236">
        <f t="shared" si="8"/>
        <v>1</v>
      </c>
      <c r="K10" s="280">
        <v>231716.41</v>
      </c>
      <c r="L10" s="281">
        <v>231716.41</v>
      </c>
      <c r="M10" s="236">
        <f t="shared" si="9"/>
        <v>1</v>
      </c>
      <c r="N10" s="280">
        <v>209324.61</v>
      </c>
      <c r="O10" s="281">
        <v>209324.61</v>
      </c>
      <c r="P10" s="236">
        <f t="shared" si="0"/>
        <v>1</v>
      </c>
      <c r="Q10" s="280">
        <v>194417.21</v>
      </c>
      <c r="R10" s="281">
        <v>194417.21</v>
      </c>
      <c r="S10" s="236">
        <f t="shared" si="1"/>
        <v>1</v>
      </c>
      <c r="T10" s="280">
        <v>186238.8</v>
      </c>
      <c r="U10" s="281">
        <v>186238.8</v>
      </c>
      <c r="V10" s="236">
        <f t="shared" si="2"/>
        <v>1</v>
      </c>
      <c r="W10" s="280">
        <v>924578.56</v>
      </c>
      <c r="X10" s="281">
        <v>234878.56</v>
      </c>
      <c r="Y10" s="236">
        <f t="shared" si="3"/>
        <v>0.25403851025920393</v>
      </c>
      <c r="Z10" s="280">
        <v>198296.49</v>
      </c>
      <c r="AA10" s="281">
        <v>296409.18</v>
      </c>
      <c r="AB10" s="236">
        <v>1</v>
      </c>
      <c r="AC10" s="280">
        <v>271072.76</v>
      </c>
      <c r="AD10" s="281">
        <v>374390.28</v>
      </c>
      <c r="AE10" s="236">
        <v>1</v>
      </c>
      <c r="AF10" s="280">
        <v>173950.93</v>
      </c>
      <c r="AG10" s="281">
        <v>284184.98</v>
      </c>
      <c r="AH10" s="236">
        <v>1</v>
      </c>
      <c r="AI10" s="280">
        <v>159231.42000000001</v>
      </c>
      <c r="AJ10" s="281">
        <v>248644.68</v>
      </c>
      <c r="AK10" s="236">
        <v>1</v>
      </c>
      <c r="AL10" s="280">
        <v>369713.64</v>
      </c>
      <c r="AM10" s="281">
        <v>658286.12</v>
      </c>
      <c r="AN10" s="236">
        <v>1</v>
      </c>
      <c r="AO10" s="295">
        <f t="shared" si="11"/>
        <v>91.666666666666657</v>
      </c>
      <c r="AP10" s="293">
        <f t="shared" si="12"/>
        <v>0.91666666666666652</v>
      </c>
      <c r="AQ10" s="11">
        <f t="shared" si="15"/>
        <v>4.5833333333333321</v>
      </c>
      <c r="AS10" s="294">
        <f t="shared" si="16"/>
        <v>3151700</v>
      </c>
      <c r="AT10" s="294">
        <f t="shared" si="13"/>
        <v>3151650.0000000005</v>
      </c>
    </row>
    <row r="11" spans="1:46" ht="40.15" customHeight="1" thickBot="1" x14ac:dyDescent="0.3">
      <c r="A11" s="192" t="s">
        <v>19</v>
      </c>
      <c r="B11" s="193" t="s">
        <v>29</v>
      </c>
      <c r="C11" s="285" t="s">
        <v>30</v>
      </c>
      <c r="D11" s="290" t="s">
        <v>31</v>
      </c>
      <c r="E11" s="287">
        <v>337047.38</v>
      </c>
      <c r="F11" s="181">
        <v>247647.38</v>
      </c>
      <c r="G11" s="236">
        <f t="shared" si="14"/>
        <v>0.73475539255044797</v>
      </c>
      <c r="H11" s="280">
        <v>734575.29</v>
      </c>
      <c r="I11" s="281">
        <v>562019.06999999995</v>
      </c>
      <c r="J11" s="236">
        <f t="shared" si="8"/>
        <v>0.76509389527654803</v>
      </c>
      <c r="K11" s="280">
        <v>354300.48</v>
      </c>
      <c r="L11" s="281">
        <v>495714.29</v>
      </c>
      <c r="M11" s="236">
        <v>1</v>
      </c>
      <c r="N11" s="280">
        <v>426736.82</v>
      </c>
      <c r="O11" s="281">
        <v>510591.76</v>
      </c>
      <c r="P11" s="236">
        <v>1</v>
      </c>
      <c r="Q11" s="280">
        <v>784166.18</v>
      </c>
      <c r="R11" s="281">
        <v>471849.29</v>
      </c>
      <c r="S11" s="236">
        <f t="shared" si="1"/>
        <v>0.60172104081305822</v>
      </c>
      <c r="T11" s="280">
        <v>369181.48</v>
      </c>
      <c r="U11" s="281">
        <v>569606.27</v>
      </c>
      <c r="V11" s="236">
        <v>1</v>
      </c>
      <c r="W11" s="280">
        <v>411626.84</v>
      </c>
      <c r="X11" s="281">
        <v>494922.47</v>
      </c>
      <c r="Y11" s="236">
        <v>1</v>
      </c>
      <c r="Z11" s="280">
        <v>737011.89</v>
      </c>
      <c r="AA11" s="281">
        <v>571142.82999999996</v>
      </c>
      <c r="AB11" s="236">
        <f t="shared" si="4"/>
        <v>0.77494384792082516</v>
      </c>
      <c r="AC11" s="280">
        <v>421543.64</v>
      </c>
      <c r="AD11" s="281">
        <v>481310.32</v>
      </c>
      <c r="AE11" s="236">
        <v>1</v>
      </c>
      <c r="AF11" s="280">
        <v>528675</v>
      </c>
      <c r="AG11" s="281">
        <v>342709.77</v>
      </c>
      <c r="AH11" s="236">
        <f t="shared" si="6"/>
        <v>0.64824281458362887</v>
      </c>
      <c r="AI11" s="280">
        <v>463925</v>
      </c>
      <c r="AJ11" s="281">
        <v>449234.46</v>
      </c>
      <c r="AK11" s="236">
        <f t="shared" si="7"/>
        <v>0.9683342350595463</v>
      </c>
      <c r="AL11" s="280">
        <v>468910</v>
      </c>
      <c r="AM11" s="281">
        <v>824037.36</v>
      </c>
      <c r="AN11" s="236">
        <v>1</v>
      </c>
      <c r="AO11" s="295">
        <f t="shared" si="11"/>
        <v>79.109093551700454</v>
      </c>
      <c r="AP11" s="293">
        <f t="shared" si="12"/>
        <v>0.79109093551700449</v>
      </c>
      <c r="AQ11" s="11">
        <f t="shared" si="15"/>
        <v>3.9554546775850223</v>
      </c>
      <c r="AS11" s="294">
        <f t="shared" si="16"/>
        <v>6037700</v>
      </c>
      <c r="AT11" s="294">
        <f t="shared" si="13"/>
        <v>6020785.2700000014</v>
      </c>
    </row>
    <row r="12" spans="1:46" ht="42" customHeight="1" thickBot="1" x14ac:dyDescent="0.3">
      <c r="A12" s="192" t="s">
        <v>20</v>
      </c>
      <c r="B12" s="193" t="s">
        <v>32</v>
      </c>
      <c r="C12" s="285" t="s">
        <v>33</v>
      </c>
      <c r="D12" s="290" t="s">
        <v>34</v>
      </c>
      <c r="E12" s="287">
        <v>103700</v>
      </c>
      <c r="F12" s="181">
        <v>103700</v>
      </c>
      <c r="G12" s="236">
        <f t="shared" si="14"/>
        <v>1</v>
      </c>
      <c r="H12" s="280">
        <v>337850.77</v>
      </c>
      <c r="I12" s="281">
        <v>337850.77</v>
      </c>
      <c r="J12" s="236">
        <f t="shared" si="8"/>
        <v>1</v>
      </c>
      <c r="K12" s="280">
        <v>402223.57</v>
      </c>
      <c r="L12" s="281">
        <v>402223.57</v>
      </c>
      <c r="M12" s="236">
        <f t="shared" si="9"/>
        <v>1</v>
      </c>
      <c r="N12" s="280">
        <v>354698.41</v>
      </c>
      <c r="O12" s="281">
        <v>354698.41</v>
      </c>
      <c r="P12" s="236">
        <f t="shared" si="0"/>
        <v>1</v>
      </c>
      <c r="Q12" s="280">
        <v>368938.64</v>
      </c>
      <c r="R12" s="281">
        <v>368938.64</v>
      </c>
      <c r="S12" s="236">
        <f t="shared" si="1"/>
        <v>1</v>
      </c>
      <c r="T12" s="280">
        <v>350001.37</v>
      </c>
      <c r="U12" s="281">
        <v>350001.37</v>
      </c>
      <c r="V12" s="236">
        <f t="shared" si="2"/>
        <v>1</v>
      </c>
      <c r="W12" s="280">
        <v>348428.11</v>
      </c>
      <c r="X12" s="281">
        <v>348428.11</v>
      </c>
      <c r="Y12" s="236">
        <f t="shared" si="3"/>
        <v>1</v>
      </c>
      <c r="Z12" s="280">
        <v>290536.38</v>
      </c>
      <c r="AA12" s="281">
        <v>290536.38</v>
      </c>
      <c r="AB12" s="236">
        <f t="shared" si="4"/>
        <v>1</v>
      </c>
      <c r="AC12" s="280">
        <v>386052.33</v>
      </c>
      <c r="AD12" s="281">
        <v>386052.33</v>
      </c>
      <c r="AE12" s="236">
        <f t="shared" si="5"/>
        <v>1</v>
      </c>
      <c r="AF12" s="280">
        <v>316306.46999999997</v>
      </c>
      <c r="AG12" s="281">
        <v>316306.46999999997</v>
      </c>
      <c r="AH12" s="236">
        <f t="shared" si="6"/>
        <v>1</v>
      </c>
      <c r="AI12" s="280">
        <v>332144.42</v>
      </c>
      <c r="AJ12" s="281">
        <v>332144.42</v>
      </c>
      <c r="AK12" s="236">
        <f t="shared" si="7"/>
        <v>1</v>
      </c>
      <c r="AL12" s="280">
        <v>770619.53</v>
      </c>
      <c r="AM12" s="281">
        <v>770569.53</v>
      </c>
      <c r="AN12" s="236">
        <f t="shared" si="10"/>
        <v>0.9999351171388039</v>
      </c>
      <c r="AO12" s="295">
        <f t="shared" si="11"/>
        <v>91.666125976156692</v>
      </c>
      <c r="AP12" s="293">
        <f t="shared" si="12"/>
        <v>0.91666125976156687</v>
      </c>
      <c r="AQ12" s="11">
        <f t="shared" si="15"/>
        <v>4.5833062988078339</v>
      </c>
      <c r="AS12" s="294">
        <f t="shared" si="16"/>
        <v>4361500</v>
      </c>
      <c r="AT12" s="294">
        <f t="shared" si="13"/>
        <v>4361450</v>
      </c>
    </row>
    <row r="13" spans="1:46" ht="16.5" thickBot="1" x14ac:dyDescent="0.3">
      <c r="A13" s="192" t="s">
        <v>21</v>
      </c>
      <c r="B13" s="193" t="s">
        <v>35</v>
      </c>
      <c r="C13" s="285" t="s">
        <v>36</v>
      </c>
      <c r="D13" s="290" t="s">
        <v>37</v>
      </c>
      <c r="E13" s="287">
        <v>232858.77</v>
      </c>
      <c r="F13" s="181">
        <v>232858.77</v>
      </c>
      <c r="G13" s="236">
        <f t="shared" si="14"/>
        <v>1</v>
      </c>
      <c r="H13" s="280">
        <v>11392486.23</v>
      </c>
      <c r="I13" s="281">
        <v>5354586.2300000004</v>
      </c>
      <c r="J13" s="236">
        <f t="shared" si="8"/>
        <v>0.47001033153761385</v>
      </c>
      <c r="K13" s="280">
        <v>8994492.0299999993</v>
      </c>
      <c r="L13" s="281">
        <v>9352736.1600000001</v>
      </c>
      <c r="M13" s="236">
        <v>1</v>
      </c>
      <c r="N13" s="280">
        <v>3713340.96</v>
      </c>
      <c r="O13" s="281">
        <v>3453340.96</v>
      </c>
      <c r="P13" s="236">
        <f t="shared" si="0"/>
        <v>0.92998219048541131</v>
      </c>
      <c r="Q13" s="280">
        <v>639955.78</v>
      </c>
      <c r="R13" s="281">
        <v>627855.78</v>
      </c>
      <c r="S13" s="236">
        <f t="shared" si="1"/>
        <v>0.98109244360602543</v>
      </c>
      <c r="T13" s="280">
        <v>7801753.9900000002</v>
      </c>
      <c r="U13" s="281">
        <v>8098376.8099999996</v>
      </c>
      <c r="V13" s="236">
        <v>1</v>
      </c>
      <c r="W13" s="280">
        <v>10796074.07</v>
      </c>
      <c r="X13" s="281">
        <v>7904414.1799999997</v>
      </c>
      <c r="Y13" s="236">
        <f t="shared" si="3"/>
        <v>0.73215634949788733</v>
      </c>
      <c r="Z13" s="280">
        <v>19441136.039999999</v>
      </c>
      <c r="AA13" s="281">
        <v>6420665.5199999996</v>
      </c>
      <c r="AB13" s="236">
        <f t="shared" si="4"/>
        <v>0.33026184821656129</v>
      </c>
      <c r="AC13" s="280">
        <v>9538735.1999999993</v>
      </c>
      <c r="AD13" s="281">
        <v>10899159.199999999</v>
      </c>
      <c r="AE13" s="236">
        <v>1</v>
      </c>
      <c r="AF13" s="280">
        <v>30208945.09</v>
      </c>
      <c r="AG13" s="281">
        <v>13795293.880000001</v>
      </c>
      <c r="AH13" s="236">
        <f t="shared" si="6"/>
        <v>0.45666254941708068</v>
      </c>
      <c r="AI13" s="280">
        <v>10676298.9</v>
      </c>
      <c r="AJ13" s="281">
        <v>16886895.23</v>
      </c>
      <c r="AK13" s="236">
        <v>1</v>
      </c>
      <c r="AL13" s="280">
        <v>56428122.939999998</v>
      </c>
      <c r="AM13" s="281">
        <v>64205287.93</v>
      </c>
      <c r="AN13" s="236">
        <v>1</v>
      </c>
      <c r="AO13" s="295">
        <f t="shared" si="11"/>
        <v>76.400078027189096</v>
      </c>
      <c r="AP13" s="293">
        <f t="shared" si="12"/>
        <v>0.764000780271891</v>
      </c>
      <c r="AQ13" s="11">
        <f t="shared" si="15"/>
        <v>3.8200039013594549</v>
      </c>
      <c r="AS13" s="294">
        <f t="shared" si="16"/>
        <v>169864200</v>
      </c>
      <c r="AT13" s="294">
        <f t="shared" si="13"/>
        <v>147231470.65000001</v>
      </c>
    </row>
    <row r="14" spans="1:46" ht="16.899999999999999" customHeight="1" thickBot="1" x14ac:dyDescent="0.3">
      <c r="A14" s="192" t="s">
        <v>22</v>
      </c>
      <c r="B14" s="193" t="s">
        <v>41</v>
      </c>
      <c r="C14" s="285" t="s">
        <v>39</v>
      </c>
      <c r="D14" s="290" t="s">
        <v>40</v>
      </c>
      <c r="E14" s="287">
        <v>100517521.09999999</v>
      </c>
      <c r="F14" s="181">
        <v>43466131.340000004</v>
      </c>
      <c r="G14" s="236">
        <f t="shared" si="14"/>
        <v>0.43242343090372937</v>
      </c>
      <c r="H14" s="280">
        <v>170601927.84</v>
      </c>
      <c r="I14" s="281">
        <v>131732171.75</v>
      </c>
      <c r="J14" s="236">
        <f t="shared" si="8"/>
        <v>0.77216109699267743</v>
      </c>
      <c r="K14" s="280">
        <v>212259898.11000001</v>
      </c>
      <c r="L14" s="281">
        <v>148307154.34</v>
      </c>
      <c r="M14" s="236">
        <f t="shared" si="9"/>
        <v>0.69870548163149682</v>
      </c>
      <c r="N14" s="280">
        <v>119680865.34999999</v>
      </c>
      <c r="O14" s="281">
        <v>221358346.55000001</v>
      </c>
      <c r="P14" s="236">
        <v>1</v>
      </c>
      <c r="Q14" s="280">
        <v>22617255.57</v>
      </c>
      <c r="R14" s="281">
        <v>59904492.240000002</v>
      </c>
      <c r="S14" s="236">
        <v>1</v>
      </c>
      <c r="T14" s="280">
        <v>254740146.59</v>
      </c>
      <c r="U14" s="281">
        <v>179763524.52000001</v>
      </c>
      <c r="V14" s="236">
        <f t="shared" si="2"/>
        <v>0.70567410330232083</v>
      </c>
      <c r="W14" s="280">
        <v>113524437.17</v>
      </c>
      <c r="X14" s="281">
        <v>126746580.81999999</v>
      </c>
      <c r="Y14" s="236">
        <v>1</v>
      </c>
      <c r="Z14" s="280">
        <v>74584177.379999995</v>
      </c>
      <c r="AA14" s="281">
        <v>102149937.5</v>
      </c>
      <c r="AB14" s="236">
        <v>1</v>
      </c>
      <c r="AC14" s="280">
        <v>298476604</v>
      </c>
      <c r="AD14" s="281">
        <v>250442206.36000001</v>
      </c>
      <c r="AE14" s="236">
        <f t="shared" si="5"/>
        <v>0.83906813131658387</v>
      </c>
      <c r="AF14" s="280">
        <v>168014854.84</v>
      </c>
      <c r="AG14" s="281">
        <v>121793066.56999999</v>
      </c>
      <c r="AH14" s="236">
        <f t="shared" si="6"/>
        <v>0.72489463319170877</v>
      </c>
      <c r="AI14" s="280">
        <v>93131068</v>
      </c>
      <c r="AJ14" s="281">
        <v>85491273.680000007</v>
      </c>
      <c r="AK14" s="236">
        <f t="shared" si="7"/>
        <v>0.91796728541757955</v>
      </c>
      <c r="AL14" s="280">
        <v>48966244.049999997</v>
      </c>
      <c r="AM14" s="281">
        <v>190929033.88</v>
      </c>
      <c r="AN14" s="236">
        <v>1</v>
      </c>
      <c r="AO14" s="295">
        <f t="shared" si="11"/>
        <v>75.757451356300805</v>
      </c>
      <c r="AP14" s="293">
        <f t="shared" si="12"/>
        <v>0.75757451356300809</v>
      </c>
      <c r="AQ14" s="11">
        <f>AP14*5</f>
        <v>3.7878725678150404</v>
      </c>
      <c r="AS14" s="294">
        <f t="shared" si="16"/>
        <v>1677115000</v>
      </c>
      <c r="AT14" s="294">
        <f t="shared" si="13"/>
        <v>1662083919.5500002</v>
      </c>
    </row>
    <row r="15" spans="1:46" ht="16.5" thickBot="1" x14ac:dyDescent="0.3">
      <c r="A15" s="194">
        <v>9</v>
      </c>
      <c r="B15" s="193" t="s">
        <v>42</v>
      </c>
      <c r="C15" s="285" t="s">
        <v>43</v>
      </c>
      <c r="D15" s="290" t="s">
        <v>44</v>
      </c>
      <c r="E15" s="287">
        <v>6282708.2199999997</v>
      </c>
      <c r="F15" s="181">
        <v>6282708.2199999997</v>
      </c>
      <c r="G15" s="236">
        <f t="shared" si="14"/>
        <v>1</v>
      </c>
      <c r="H15" s="280">
        <v>5383170.9400000004</v>
      </c>
      <c r="I15" s="281">
        <v>5272370.9400000004</v>
      </c>
      <c r="J15" s="236">
        <f t="shared" si="8"/>
        <v>0.97941733576084433</v>
      </c>
      <c r="K15" s="280">
        <v>13727060.470000001</v>
      </c>
      <c r="L15" s="281">
        <v>13745360.470000001</v>
      </c>
      <c r="M15" s="236">
        <f t="shared" si="9"/>
        <v>1.0013331331962874</v>
      </c>
      <c r="N15" s="280">
        <v>10072324.77</v>
      </c>
      <c r="O15" s="281">
        <v>10072324.77</v>
      </c>
      <c r="P15" s="236">
        <f t="shared" si="0"/>
        <v>1</v>
      </c>
      <c r="Q15" s="280">
        <v>3038166.54</v>
      </c>
      <c r="R15" s="281">
        <v>2865666.54</v>
      </c>
      <c r="S15" s="236">
        <f t="shared" si="1"/>
        <v>0.94322233566564129</v>
      </c>
      <c r="T15" s="280">
        <v>12343194.52</v>
      </c>
      <c r="U15" s="281">
        <v>12578194.52</v>
      </c>
      <c r="V15" s="236">
        <v>1</v>
      </c>
      <c r="W15" s="280">
        <v>7946107.2000000002</v>
      </c>
      <c r="X15" s="281">
        <v>7921465.71</v>
      </c>
      <c r="Y15" s="236">
        <f t="shared" si="3"/>
        <v>0.99689892303491701</v>
      </c>
      <c r="Z15" s="280">
        <v>4921948.59</v>
      </c>
      <c r="AA15" s="281">
        <v>4656590.08</v>
      </c>
      <c r="AB15" s="236">
        <f t="shared" si="4"/>
        <v>0.94608669612292728</v>
      </c>
      <c r="AC15" s="280">
        <v>48188582.560000002</v>
      </c>
      <c r="AD15" s="281">
        <v>49626791.560000002</v>
      </c>
      <c r="AE15" s="236">
        <v>1</v>
      </c>
      <c r="AF15" s="280">
        <v>2506552</v>
      </c>
      <c r="AG15" s="281">
        <v>1034045.75</v>
      </c>
      <c r="AH15" s="236">
        <f t="shared" si="6"/>
        <v>0.41253712270880477</v>
      </c>
      <c r="AI15" s="280">
        <v>1605284.19</v>
      </c>
      <c r="AJ15" s="281">
        <v>1004724.43</v>
      </c>
      <c r="AK15" s="236">
        <f t="shared" si="7"/>
        <v>0.62588570687910416</v>
      </c>
      <c r="AL15" s="280">
        <v>39200</v>
      </c>
      <c r="AM15" s="281">
        <v>921783.92</v>
      </c>
      <c r="AN15" s="236">
        <v>1</v>
      </c>
      <c r="AO15" s="295">
        <f t="shared" si="11"/>
        <v>82.570686086113426</v>
      </c>
      <c r="AP15" s="293">
        <f t="shared" si="12"/>
        <v>0.82570686086113421</v>
      </c>
      <c r="AQ15" s="11">
        <f t="shared" si="15"/>
        <v>4.1285343043056706</v>
      </c>
      <c r="AS15" s="294">
        <f t="shared" si="16"/>
        <v>116054300.00000001</v>
      </c>
      <c r="AT15" s="294">
        <f t="shared" si="13"/>
        <v>115982026.91000001</v>
      </c>
    </row>
    <row r="16" spans="1:46" ht="26.25" thickBot="1" x14ac:dyDescent="0.3">
      <c r="A16" s="194">
        <v>10</v>
      </c>
      <c r="B16" s="193" t="s">
        <v>45</v>
      </c>
      <c r="C16" s="285" t="s">
        <v>46</v>
      </c>
      <c r="D16" s="290" t="s">
        <v>47</v>
      </c>
      <c r="E16" s="287">
        <v>2153497.75</v>
      </c>
      <c r="F16" s="181">
        <v>2076137.75</v>
      </c>
      <c r="G16" s="236">
        <f t="shared" si="14"/>
        <v>0.96407704628435298</v>
      </c>
      <c r="H16" s="280">
        <v>1599075.04</v>
      </c>
      <c r="I16" s="281">
        <v>1599075.04</v>
      </c>
      <c r="J16" s="236">
        <f t="shared" si="8"/>
        <v>1</v>
      </c>
      <c r="K16" s="280">
        <v>1285203.49</v>
      </c>
      <c r="L16" s="281">
        <v>1285203.49</v>
      </c>
      <c r="M16" s="236">
        <f t="shared" si="9"/>
        <v>1</v>
      </c>
      <c r="N16" s="280">
        <v>3639104.99</v>
      </c>
      <c r="O16" s="281">
        <v>2931979.99</v>
      </c>
      <c r="P16" s="236">
        <f t="shared" si="0"/>
        <v>0.80568711209400967</v>
      </c>
      <c r="Q16" s="280">
        <v>3231876.6</v>
      </c>
      <c r="R16" s="281">
        <v>1644563.78</v>
      </c>
      <c r="S16" s="236">
        <f t="shared" si="1"/>
        <v>0.50885723173960296</v>
      </c>
      <c r="T16" s="280">
        <v>1269889.21</v>
      </c>
      <c r="U16" s="281">
        <v>1239271.21</v>
      </c>
      <c r="V16" s="236">
        <f t="shared" si="2"/>
        <v>0.97588923525068771</v>
      </c>
      <c r="W16" s="280">
        <v>3404018.48</v>
      </c>
      <c r="X16" s="281">
        <v>3506755.98</v>
      </c>
      <c r="Y16" s="236">
        <v>1</v>
      </c>
      <c r="Z16" s="280">
        <v>879146.7</v>
      </c>
      <c r="AA16" s="281">
        <v>2818853.2</v>
      </c>
      <c r="AB16" s="236">
        <v>1</v>
      </c>
      <c r="AC16" s="280">
        <v>6699387.9500000002</v>
      </c>
      <c r="AD16" s="281">
        <v>7305803.4500000002</v>
      </c>
      <c r="AE16" s="236">
        <v>1</v>
      </c>
      <c r="AF16" s="280">
        <v>236100</v>
      </c>
      <c r="AG16" s="281">
        <v>338735.96</v>
      </c>
      <c r="AH16" s="236">
        <v>1</v>
      </c>
      <c r="AI16" s="280">
        <v>160000</v>
      </c>
      <c r="AJ16" s="281">
        <v>508791.73</v>
      </c>
      <c r="AK16" s="236">
        <v>1</v>
      </c>
      <c r="AL16" s="280">
        <v>1985499.79</v>
      </c>
      <c r="AM16" s="281">
        <v>-112466.69</v>
      </c>
      <c r="AN16" s="236">
        <f t="shared" si="10"/>
        <v>-5.6644020093298525E-2</v>
      </c>
      <c r="AO16" s="295">
        <f t="shared" si="11"/>
        <v>76.648888377294625</v>
      </c>
      <c r="AP16" s="293">
        <f t="shared" si="12"/>
        <v>0.76648888377294622</v>
      </c>
      <c r="AQ16" s="11">
        <f t="shared" si="15"/>
        <v>3.8324444188647311</v>
      </c>
      <c r="AS16" s="294">
        <f t="shared" si="16"/>
        <v>26542799.999999996</v>
      </c>
      <c r="AT16" s="294">
        <f t="shared" si="13"/>
        <v>25142704.890000001</v>
      </c>
    </row>
    <row r="17" spans="1:46" ht="18" customHeight="1" thickBot="1" x14ac:dyDescent="0.3">
      <c r="A17" s="194">
        <v>11</v>
      </c>
      <c r="B17" s="193" t="s">
        <v>48</v>
      </c>
      <c r="C17" s="285" t="s">
        <v>49</v>
      </c>
      <c r="D17" s="290" t="s">
        <v>50</v>
      </c>
      <c r="E17" s="287">
        <v>187972</v>
      </c>
      <c r="F17" s="181">
        <v>187972</v>
      </c>
      <c r="G17" s="236">
        <f t="shared" si="14"/>
        <v>1</v>
      </c>
      <c r="H17" s="280">
        <v>875132.95</v>
      </c>
      <c r="I17" s="281">
        <v>875132.95</v>
      </c>
      <c r="J17" s="236">
        <f t="shared" si="8"/>
        <v>1</v>
      </c>
      <c r="K17" s="280">
        <v>1048584.02</v>
      </c>
      <c r="L17" s="281">
        <v>1048584.02</v>
      </c>
      <c r="M17" s="236">
        <f t="shared" si="9"/>
        <v>1</v>
      </c>
      <c r="N17" s="280">
        <v>1468306.8</v>
      </c>
      <c r="O17" s="281">
        <v>1468306.8</v>
      </c>
      <c r="P17" s="236">
        <f t="shared" si="0"/>
        <v>1</v>
      </c>
      <c r="Q17" s="280">
        <v>752604.48</v>
      </c>
      <c r="R17" s="281">
        <v>752604.48</v>
      </c>
      <c r="S17" s="236">
        <f t="shared" si="1"/>
        <v>1</v>
      </c>
      <c r="T17" s="280">
        <v>1118400.8400000001</v>
      </c>
      <c r="U17" s="281">
        <v>1118400.8400000001</v>
      </c>
      <c r="V17" s="236">
        <f t="shared" si="2"/>
        <v>1</v>
      </c>
      <c r="W17" s="280">
        <v>1358412.21</v>
      </c>
      <c r="X17" s="281">
        <v>1358412.21</v>
      </c>
      <c r="Y17" s="236">
        <f t="shared" si="3"/>
        <v>1</v>
      </c>
      <c r="Z17" s="280">
        <v>1605332.09</v>
      </c>
      <c r="AA17" s="281">
        <v>1605332.09</v>
      </c>
      <c r="AB17" s="236">
        <f t="shared" si="4"/>
        <v>1</v>
      </c>
      <c r="AC17" s="280">
        <v>1339533.3500000001</v>
      </c>
      <c r="AD17" s="281">
        <v>1339533.3500000001</v>
      </c>
      <c r="AE17" s="236">
        <f t="shared" si="5"/>
        <v>1</v>
      </c>
      <c r="AF17" s="280">
        <v>1868505.26</v>
      </c>
      <c r="AG17" s="281">
        <v>1037896.3</v>
      </c>
      <c r="AH17" s="236">
        <f t="shared" si="6"/>
        <v>0.55546876009329516</v>
      </c>
      <c r="AI17" s="280">
        <v>1049200</v>
      </c>
      <c r="AJ17" s="281">
        <v>1020780.34</v>
      </c>
      <c r="AK17" s="236">
        <f t="shared" si="7"/>
        <v>0.97291301944338537</v>
      </c>
      <c r="AL17" s="280">
        <v>1084516</v>
      </c>
      <c r="AM17" s="281">
        <v>1943375.2</v>
      </c>
      <c r="AN17" s="236">
        <v>1</v>
      </c>
      <c r="AO17" s="295">
        <f t="shared" si="11"/>
        <v>87.736514829472327</v>
      </c>
      <c r="AP17" s="293">
        <f t="shared" si="12"/>
        <v>0.87736514829472323</v>
      </c>
      <c r="AQ17" s="11">
        <f t="shared" si="15"/>
        <v>4.3868257414736158</v>
      </c>
      <c r="AS17" s="294">
        <f t="shared" si="16"/>
        <v>13756500</v>
      </c>
      <c r="AT17" s="294">
        <f t="shared" si="13"/>
        <v>13756330.58</v>
      </c>
    </row>
    <row r="18" spans="1:46" ht="32.450000000000003" customHeight="1" thickBot="1" x14ac:dyDescent="0.3">
      <c r="A18" s="192" t="s">
        <v>38</v>
      </c>
      <c r="B18" s="193" t="s">
        <v>51</v>
      </c>
      <c r="C18" s="285" t="s">
        <v>52</v>
      </c>
      <c r="D18" s="290" t="s">
        <v>53</v>
      </c>
      <c r="E18" s="288">
        <v>9054700</v>
      </c>
      <c r="F18" s="278">
        <v>7848818.0700000003</v>
      </c>
      <c r="G18" s="236">
        <f t="shared" si="14"/>
        <v>0.86682254188432528</v>
      </c>
      <c r="H18" s="291">
        <v>8488600</v>
      </c>
      <c r="I18" s="283">
        <v>9020114</v>
      </c>
      <c r="J18" s="236">
        <v>1</v>
      </c>
      <c r="K18" s="282">
        <v>8732000</v>
      </c>
      <c r="L18" s="283">
        <v>8623817.3800000008</v>
      </c>
      <c r="M18" s="236">
        <f t="shared" si="9"/>
        <v>0.9876107856161247</v>
      </c>
      <c r="N18" s="282">
        <v>12993000</v>
      </c>
      <c r="O18" s="283">
        <v>8551410.2799999993</v>
      </c>
      <c r="P18" s="236">
        <f t="shared" si="0"/>
        <v>0.65815518202108825</v>
      </c>
      <c r="Q18" s="282">
        <v>4396600</v>
      </c>
      <c r="R18" s="283">
        <v>8452743.6799999997</v>
      </c>
      <c r="S18" s="236">
        <v>1</v>
      </c>
      <c r="T18" s="282">
        <v>8403400</v>
      </c>
      <c r="U18" s="283">
        <v>8373672.4500000002</v>
      </c>
      <c r="V18" s="236">
        <f t="shared" si="2"/>
        <v>0.99646243782278598</v>
      </c>
      <c r="W18" s="282">
        <v>8718400</v>
      </c>
      <c r="X18" s="283">
        <v>8643547.8699999992</v>
      </c>
      <c r="Y18" s="236">
        <f t="shared" si="3"/>
        <v>0.99141446481005679</v>
      </c>
      <c r="Z18" s="282">
        <v>8312900</v>
      </c>
      <c r="AA18" s="283">
        <v>8276934.4000000004</v>
      </c>
      <c r="AB18" s="236">
        <f t="shared" si="4"/>
        <v>0.99567351946973981</v>
      </c>
      <c r="AC18" s="282">
        <v>8059600</v>
      </c>
      <c r="AD18" s="283">
        <v>7995901.9500000002</v>
      </c>
      <c r="AE18" s="236">
        <f t="shared" si="5"/>
        <v>0.99209662390193065</v>
      </c>
      <c r="AF18" s="282">
        <v>8714300</v>
      </c>
      <c r="AG18" s="283">
        <v>8914018.4100000001</v>
      </c>
      <c r="AH18" s="236">
        <v>1</v>
      </c>
      <c r="AI18" s="282">
        <v>8535000</v>
      </c>
      <c r="AJ18" s="283">
        <v>8219972.3300000001</v>
      </c>
      <c r="AK18" s="236">
        <f t="shared" si="7"/>
        <v>0.9630899039250147</v>
      </c>
      <c r="AL18" s="282">
        <v>8592300</v>
      </c>
      <c r="AM18" s="283">
        <v>9434366.2200000007</v>
      </c>
      <c r="AN18" s="236">
        <v>1</v>
      </c>
      <c r="AO18" s="295">
        <f t="shared" si="11"/>
        <v>87.165924955341751</v>
      </c>
      <c r="AP18" s="293">
        <f t="shared" si="12"/>
        <v>0.87165924955341756</v>
      </c>
      <c r="AQ18" s="11">
        <f t="shared" si="15"/>
        <v>4.3582962477670879</v>
      </c>
      <c r="AS18" s="294">
        <f t="shared" si="16"/>
        <v>103000800</v>
      </c>
      <c r="AT18" s="294">
        <f t="shared" si="13"/>
        <v>102355317.04000001</v>
      </c>
    </row>
    <row r="19" spans="1:46" ht="15.75" x14ac:dyDescent="0.25">
      <c r="A19" s="387" t="s">
        <v>59</v>
      </c>
      <c r="B19" s="388"/>
      <c r="C19" s="388"/>
      <c r="D19" s="393"/>
      <c r="E19" s="312">
        <f>E7+E8+E9+E10+E11+E12+E13+E14+E15+E16+E17+E18</f>
        <v>131309586.97</v>
      </c>
      <c r="F19" s="313">
        <f t="shared" ref="F19:AQ19" si="17">F7+F8+F9+F10+F11+F12+F13+F14+F15+F16+F17+F18</f>
        <v>72194264.409999996</v>
      </c>
      <c r="G19" s="314"/>
      <c r="H19" s="315">
        <f t="shared" si="17"/>
        <v>258131681.07999998</v>
      </c>
      <c r="I19" s="316">
        <f t="shared" si="17"/>
        <v>213231503.06999996</v>
      </c>
      <c r="J19" s="317"/>
      <c r="K19" s="315">
        <f t="shared" si="17"/>
        <v>316760709.92000002</v>
      </c>
      <c r="L19" s="316">
        <f t="shared" si="17"/>
        <v>239619148.74000001</v>
      </c>
      <c r="M19" s="317"/>
      <c r="N19" s="315">
        <f t="shared" si="17"/>
        <v>226528129.34</v>
      </c>
      <c r="O19" s="316">
        <f t="shared" si="17"/>
        <v>321188249.46999997</v>
      </c>
      <c r="P19" s="317"/>
      <c r="Q19" s="315">
        <f t="shared" si="17"/>
        <v>73363211.390000001</v>
      </c>
      <c r="R19" s="316">
        <f t="shared" si="17"/>
        <v>122371930.63000003</v>
      </c>
      <c r="S19" s="317"/>
      <c r="T19" s="315">
        <f t="shared" si="17"/>
        <v>328156939.74999994</v>
      </c>
      <c r="U19" s="316">
        <f t="shared" si="17"/>
        <v>253905919.54000002</v>
      </c>
      <c r="V19" s="317"/>
      <c r="W19" s="315">
        <f t="shared" si="17"/>
        <v>213935390.06</v>
      </c>
      <c r="X19" s="316">
        <f t="shared" si="17"/>
        <v>222642126.18000001</v>
      </c>
      <c r="Y19" s="317"/>
      <c r="Z19" s="315">
        <f t="shared" si="17"/>
        <v>162360458.03999999</v>
      </c>
      <c r="AA19" s="316">
        <f t="shared" si="17"/>
        <v>178243569.94000003</v>
      </c>
      <c r="AB19" s="317"/>
      <c r="AC19" s="315">
        <f t="shared" si="17"/>
        <v>461693650.51999998</v>
      </c>
      <c r="AD19" s="316">
        <f t="shared" si="17"/>
        <v>416226183.26000005</v>
      </c>
      <c r="AE19" s="317"/>
      <c r="AF19" s="315">
        <f t="shared" si="17"/>
        <v>283743022.79000002</v>
      </c>
      <c r="AG19" s="316">
        <f t="shared" si="17"/>
        <v>214048689.42000002</v>
      </c>
      <c r="AH19" s="317"/>
      <c r="AI19" s="315">
        <f t="shared" si="17"/>
        <v>161149954.37</v>
      </c>
      <c r="AJ19" s="316">
        <f t="shared" si="17"/>
        <v>147430468.98000002</v>
      </c>
      <c r="AK19" s="317"/>
      <c r="AL19" s="315">
        <f t="shared" si="17"/>
        <v>187552565.76999998</v>
      </c>
      <c r="AM19" s="316">
        <f t="shared" si="17"/>
        <v>331358009.11000001</v>
      </c>
      <c r="AN19" s="316"/>
      <c r="AO19" s="318"/>
      <c r="AP19" s="318">
        <f t="shared" si="17"/>
        <v>10.04957254578161</v>
      </c>
      <c r="AQ19" s="318">
        <f t="shared" si="17"/>
        <v>50.247862728908053</v>
      </c>
      <c r="AS19" s="294">
        <f>E19+H19+K19+N19+Q19+T19+W19+Z19+AC19+AF19+AI19+AL19</f>
        <v>2804685299.9999995</v>
      </c>
      <c r="AT19" s="294">
        <f t="shared" si="13"/>
        <v>2732460062.75</v>
      </c>
    </row>
    <row r="20" spans="1:46" ht="15.75" x14ac:dyDescent="0.25">
      <c r="A20" s="390" t="s">
        <v>204</v>
      </c>
      <c r="B20" s="391"/>
      <c r="C20" s="391"/>
      <c r="D20" s="392"/>
      <c r="E20" s="308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19">
        <f>AP19/12</f>
        <v>0.83746437881513414</v>
      </c>
      <c r="AQ20" s="320">
        <f>AQ19/12</f>
        <v>4.1873218940756711</v>
      </c>
    </row>
    <row r="21" spans="1:46" ht="15.6" x14ac:dyDescent="0.3">
      <c r="A21" s="15"/>
      <c r="B21" s="15"/>
      <c r="C21" s="15"/>
      <c r="D21" s="15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18"/>
      <c r="AQ21" s="18"/>
    </row>
    <row r="22" spans="1:46" ht="15.6" x14ac:dyDescent="0.3">
      <c r="A22" s="15"/>
      <c r="B22" s="15"/>
      <c r="C22" s="15"/>
      <c r="D22" s="15"/>
      <c r="E22" s="39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1:46" ht="15.75" x14ac:dyDescent="0.25">
      <c r="A23" s="386" t="s">
        <v>213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</row>
    <row r="24" spans="1:46" ht="15.6" x14ac:dyDescent="0.3">
      <c r="A24" s="376"/>
      <c r="B24" s="377"/>
      <c r="C24" s="37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</sheetData>
  <mergeCells count="26">
    <mergeCell ref="A2:AQ2"/>
    <mergeCell ref="E3:F3"/>
    <mergeCell ref="AQ4:AQ6"/>
    <mergeCell ref="A23:AQ23"/>
    <mergeCell ref="A24:C24"/>
    <mergeCell ref="D4:D6"/>
    <mergeCell ref="C4:C6"/>
    <mergeCell ref="B4:B6"/>
    <mergeCell ref="A4:A6"/>
    <mergeCell ref="E5:G5"/>
    <mergeCell ref="H5:J5"/>
    <mergeCell ref="K5:M5"/>
    <mergeCell ref="N5:P5"/>
    <mergeCell ref="Q5:S5"/>
    <mergeCell ref="T5:V5"/>
    <mergeCell ref="W5:Y5"/>
    <mergeCell ref="A19:D19"/>
    <mergeCell ref="A20:D20"/>
    <mergeCell ref="AP4:AP5"/>
    <mergeCell ref="E4:AM4"/>
    <mergeCell ref="Z5:AB5"/>
    <mergeCell ref="AC5:AE5"/>
    <mergeCell ref="AF5:AH5"/>
    <mergeCell ref="AI5:AK5"/>
    <mergeCell ref="AL5:AN5"/>
    <mergeCell ref="AO4:AO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2" manualBreakCount="2">
    <brk id="16" max="23" man="1"/>
    <brk id="3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view="pageBreakPreview" zoomScale="60" zoomScaleNormal="100" workbookViewId="0">
      <selection activeCell="N12" sqref="N12"/>
    </sheetView>
  </sheetViews>
  <sheetFormatPr defaultRowHeight="15" x14ac:dyDescent="0.25"/>
  <cols>
    <col min="1" max="1" width="4.28515625" customWidth="1"/>
    <col min="2" max="2" width="6.7109375" customWidth="1"/>
    <col min="3" max="3" width="13.28515625" customWidth="1"/>
    <col min="4" max="4" width="32.28515625" customWidth="1"/>
    <col min="5" max="5" width="17.5703125" customWidth="1"/>
    <col min="6" max="6" width="19.42578125" customWidth="1"/>
    <col min="7" max="7" width="16.42578125" customWidth="1"/>
    <col min="8" max="8" width="27.5703125" customWidth="1"/>
    <col min="9" max="9" width="14" customWidth="1"/>
  </cols>
  <sheetData>
    <row r="2" spans="1:9" x14ac:dyDescent="0.25">
      <c r="A2" s="379" t="s">
        <v>92</v>
      </c>
      <c r="B2" s="380"/>
      <c r="C2" s="380"/>
      <c r="D2" s="380"/>
      <c r="E2" s="380"/>
      <c r="F2" s="380"/>
      <c r="G2" s="380"/>
      <c r="H2" s="380"/>
      <c r="I2" s="380"/>
    </row>
    <row r="3" spans="1:9" ht="16.149999999999999" thickBot="1" x14ac:dyDescent="0.35">
      <c r="A3" s="24"/>
      <c r="B3" s="24"/>
      <c r="C3" s="24"/>
      <c r="D3" s="164"/>
      <c r="E3" s="381"/>
      <c r="F3" s="381"/>
      <c r="G3" s="17"/>
      <c r="H3" s="17"/>
      <c r="I3" s="17"/>
    </row>
    <row r="4" spans="1:9" ht="32.25" thickBot="1" x14ac:dyDescent="0.3">
      <c r="A4" s="167" t="s">
        <v>1</v>
      </c>
      <c r="B4" s="166" t="s">
        <v>116</v>
      </c>
      <c r="C4" s="166" t="s">
        <v>2</v>
      </c>
      <c r="D4" s="166" t="s">
        <v>3</v>
      </c>
      <c r="E4" s="382" t="s">
        <v>98</v>
      </c>
      <c r="F4" s="382"/>
      <c r="G4" s="168"/>
      <c r="H4" s="168"/>
      <c r="I4" s="383" t="s">
        <v>58</v>
      </c>
    </row>
    <row r="5" spans="1:9" ht="31.9" customHeight="1" thickBot="1" x14ac:dyDescent="0.3">
      <c r="A5" s="169"/>
      <c r="B5" s="170"/>
      <c r="C5" s="170"/>
      <c r="D5" s="170"/>
      <c r="E5" s="170" t="s">
        <v>99</v>
      </c>
      <c r="F5" s="171" t="s">
        <v>100</v>
      </c>
      <c r="G5" s="172" t="s">
        <v>80</v>
      </c>
      <c r="H5" s="173" t="s">
        <v>73</v>
      </c>
      <c r="I5" s="384"/>
    </row>
    <row r="6" spans="1:9" ht="33" customHeight="1" thickBot="1" x14ac:dyDescent="0.3">
      <c r="A6" s="174"/>
      <c r="B6" s="175"/>
      <c r="C6" s="175"/>
      <c r="D6" s="175"/>
      <c r="E6" s="175" t="s">
        <v>93</v>
      </c>
      <c r="F6" s="176" t="s">
        <v>94</v>
      </c>
      <c r="G6" s="329" t="s">
        <v>95</v>
      </c>
      <c r="H6" s="178" t="s">
        <v>96</v>
      </c>
      <c r="I6" s="385"/>
    </row>
    <row r="7" spans="1:9" ht="31.15" customHeight="1" x14ac:dyDescent="0.25">
      <c r="A7" s="190" t="s">
        <v>9</v>
      </c>
      <c r="B7" s="191" t="s">
        <v>10</v>
      </c>
      <c r="C7" s="191" t="s">
        <v>11</v>
      </c>
      <c r="D7" s="196" t="s">
        <v>12</v>
      </c>
      <c r="E7" s="179">
        <v>5067500</v>
      </c>
      <c r="F7" s="262">
        <v>5067392.26</v>
      </c>
      <c r="G7" s="152">
        <f>(E7-F7)/E7</f>
        <v>2.1260976813068281E-5</v>
      </c>
      <c r="H7" s="152">
        <v>1</v>
      </c>
      <c r="I7" s="7">
        <f>H7*5</f>
        <v>5</v>
      </c>
    </row>
    <row r="8" spans="1:9" ht="25.5" x14ac:dyDescent="0.25">
      <c r="A8" s="192" t="s">
        <v>16</v>
      </c>
      <c r="B8" s="193" t="s">
        <v>13</v>
      </c>
      <c r="C8" s="193" t="s">
        <v>14</v>
      </c>
      <c r="D8" s="197" t="s">
        <v>15</v>
      </c>
      <c r="E8" s="181">
        <v>656169300</v>
      </c>
      <c r="F8" s="327">
        <v>623743017.14999998</v>
      </c>
      <c r="G8" s="152">
        <f t="shared" ref="G8:G18" si="0">(E8-F8)/E8</f>
        <v>4.941755557597715E-2</v>
      </c>
      <c r="H8" s="152">
        <f>(0.1-G8)/0.08</f>
        <v>0.63228055530028571</v>
      </c>
      <c r="I8" s="11">
        <f>H8*5</f>
        <v>3.1614027765014283</v>
      </c>
    </row>
    <row r="9" spans="1:9" ht="15.75" x14ac:dyDescent="0.25">
      <c r="A9" s="192" t="s">
        <v>17</v>
      </c>
      <c r="B9" s="193" t="s">
        <v>23</v>
      </c>
      <c r="C9" s="193" t="s">
        <v>24</v>
      </c>
      <c r="D9" s="197" t="s">
        <v>25</v>
      </c>
      <c r="E9" s="181">
        <v>23564000</v>
      </c>
      <c r="F9" s="327">
        <v>23563998.449999999</v>
      </c>
      <c r="G9" s="152">
        <f t="shared" si="0"/>
        <v>6.5778305921959685E-8</v>
      </c>
      <c r="H9" s="152">
        <v>1</v>
      </c>
      <c r="I9" s="11">
        <f t="shared" ref="I9:I18" si="1">H9*5</f>
        <v>5</v>
      </c>
    </row>
    <row r="10" spans="1:9" ht="30" customHeight="1" x14ac:dyDescent="0.25">
      <c r="A10" s="192" t="s">
        <v>18</v>
      </c>
      <c r="B10" s="193" t="s">
        <v>26</v>
      </c>
      <c r="C10" s="193" t="s">
        <v>27</v>
      </c>
      <c r="D10" s="197" t="s">
        <v>28</v>
      </c>
      <c r="E10" s="181">
        <v>3151700</v>
      </c>
      <c r="F10" s="327">
        <v>3151650</v>
      </c>
      <c r="G10" s="152">
        <f t="shared" si="0"/>
        <v>1.5864454104134276E-5</v>
      </c>
      <c r="H10" s="152">
        <v>1</v>
      </c>
      <c r="I10" s="11">
        <f t="shared" si="1"/>
        <v>5</v>
      </c>
    </row>
    <row r="11" spans="1:9" ht="40.15" customHeight="1" x14ac:dyDescent="0.25">
      <c r="A11" s="192" t="s">
        <v>19</v>
      </c>
      <c r="B11" s="193" t="s">
        <v>29</v>
      </c>
      <c r="C11" s="193" t="s">
        <v>30</v>
      </c>
      <c r="D11" s="197" t="s">
        <v>31</v>
      </c>
      <c r="E11" s="181">
        <v>6037700</v>
      </c>
      <c r="F11" s="327">
        <v>6020785.2699999996</v>
      </c>
      <c r="G11" s="152">
        <f t="shared" si="0"/>
        <v>2.8015187902678913E-3</v>
      </c>
      <c r="H11" s="152">
        <v>1</v>
      </c>
      <c r="I11" s="11">
        <f t="shared" si="1"/>
        <v>5</v>
      </c>
    </row>
    <row r="12" spans="1:9" ht="28.15" customHeight="1" x14ac:dyDescent="0.25">
      <c r="A12" s="192" t="s">
        <v>20</v>
      </c>
      <c r="B12" s="193" t="s">
        <v>32</v>
      </c>
      <c r="C12" s="193" t="s">
        <v>33</v>
      </c>
      <c r="D12" s="197" t="s">
        <v>34</v>
      </c>
      <c r="E12" s="181">
        <v>4361500</v>
      </c>
      <c r="F12" s="327">
        <v>4361450</v>
      </c>
      <c r="G12" s="152">
        <f t="shared" si="0"/>
        <v>1.1463945890175398E-5</v>
      </c>
      <c r="H12" s="152">
        <v>1</v>
      </c>
      <c r="I12" s="11">
        <f t="shared" si="1"/>
        <v>5</v>
      </c>
    </row>
    <row r="13" spans="1:9" ht="15.75" x14ac:dyDescent="0.25">
      <c r="A13" s="192" t="s">
        <v>21</v>
      </c>
      <c r="B13" s="193" t="s">
        <v>35</v>
      </c>
      <c r="C13" s="193" t="s">
        <v>36</v>
      </c>
      <c r="D13" s="197" t="s">
        <v>37</v>
      </c>
      <c r="E13" s="181">
        <v>169864200</v>
      </c>
      <c r="F13" s="327">
        <v>147231470.65000001</v>
      </c>
      <c r="G13" s="152">
        <f t="shared" si="0"/>
        <v>0.13324013741565319</v>
      </c>
      <c r="H13" s="152">
        <v>0</v>
      </c>
      <c r="I13" s="11">
        <f t="shared" si="1"/>
        <v>0</v>
      </c>
    </row>
    <row r="14" spans="1:9" ht="16.899999999999999" customHeight="1" x14ac:dyDescent="0.25">
      <c r="A14" s="192" t="s">
        <v>22</v>
      </c>
      <c r="B14" s="193" t="s">
        <v>41</v>
      </c>
      <c r="C14" s="193" t="s">
        <v>39</v>
      </c>
      <c r="D14" s="197" t="s">
        <v>40</v>
      </c>
      <c r="E14" s="181">
        <v>1677115000</v>
      </c>
      <c r="F14" s="327">
        <v>1662083919.55</v>
      </c>
      <c r="G14" s="152">
        <f t="shared" si="0"/>
        <v>8.9624625920107139E-3</v>
      </c>
      <c r="H14" s="152">
        <v>1</v>
      </c>
      <c r="I14" s="11">
        <f>H14*5</f>
        <v>5</v>
      </c>
    </row>
    <row r="15" spans="1:9" ht="15.75" x14ac:dyDescent="0.25">
      <c r="A15" s="194">
        <v>9</v>
      </c>
      <c r="B15" s="193" t="s">
        <v>42</v>
      </c>
      <c r="C15" s="193" t="s">
        <v>43</v>
      </c>
      <c r="D15" s="197" t="s">
        <v>44</v>
      </c>
      <c r="E15" s="181">
        <v>116054300</v>
      </c>
      <c r="F15" s="327">
        <v>115982026.91</v>
      </c>
      <c r="G15" s="152">
        <f t="shared" si="0"/>
        <v>6.2275236678006397E-4</v>
      </c>
      <c r="H15" s="152">
        <f t="shared" ref="H15" si="2">IF(G15&gt;10,0,(1-G15/100))</f>
        <v>0.99999377247633225</v>
      </c>
      <c r="I15" s="11">
        <f t="shared" si="1"/>
        <v>4.9999688623816612</v>
      </c>
    </row>
    <row r="16" spans="1:9" ht="15.75" x14ac:dyDescent="0.25">
      <c r="A16" s="194">
        <v>10</v>
      </c>
      <c r="B16" s="193" t="s">
        <v>45</v>
      </c>
      <c r="C16" s="193" t="s">
        <v>46</v>
      </c>
      <c r="D16" s="197" t="s">
        <v>47</v>
      </c>
      <c r="E16" s="181">
        <v>26542800</v>
      </c>
      <c r="F16" s="327">
        <v>25142704.890000001</v>
      </c>
      <c r="G16" s="152">
        <f t="shared" si="0"/>
        <v>5.2748583796735818E-2</v>
      </c>
      <c r="H16" s="152">
        <f>(0.1-G16)/0.08</f>
        <v>0.59064270254080231</v>
      </c>
      <c r="I16" s="11">
        <f t="shared" si="1"/>
        <v>2.9532135127040116</v>
      </c>
    </row>
    <row r="17" spans="1:9" ht="18" customHeight="1" x14ac:dyDescent="0.25">
      <c r="A17" s="194">
        <v>11</v>
      </c>
      <c r="B17" s="193" t="s">
        <v>48</v>
      </c>
      <c r="C17" s="193" t="s">
        <v>49</v>
      </c>
      <c r="D17" s="197" t="s">
        <v>50</v>
      </c>
      <c r="E17" s="181">
        <v>13756500</v>
      </c>
      <c r="F17" s="327">
        <v>13756330.58</v>
      </c>
      <c r="G17" s="152">
        <f t="shared" si="0"/>
        <v>1.2315632610033475E-5</v>
      </c>
      <c r="H17" s="152">
        <v>1</v>
      </c>
      <c r="I17" s="11">
        <f t="shared" si="1"/>
        <v>5</v>
      </c>
    </row>
    <row r="18" spans="1:9" ht="32.450000000000003" customHeight="1" x14ac:dyDescent="0.25">
      <c r="A18" s="192" t="s">
        <v>38</v>
      </c>
      <c r="B18" s="193" t="s">
        <v>51</v>
      </c>
      <c r="C18" s="193" t="s">
        <v>52</v>
      </c>
      <c r="D18" s="197" t="s">
        <v>53</v>
      </c>
      <c r="E18" s="322">
        <v>103000800</v>
      </c>
      <c r="F18" s="328">
        <v>102355317.04000001</v>
      </c>
      <c r="G18" s="152">
        <f t="shared" si="0"/>
        <v>6.2667761803791178E-3</v>
      </c>
      <c r="H18" s="258">
        <v>1</v>
      </c>
      <c r="I18" s="323">
        <f t="shared" si="1"/>
        <v>5</v>
      </c>
    </row>
    <row r="19" spans="1:9" ht="15.75" x14ac:dyDescent="0.25">
      <c r="A19" s="417" t="s">
        <v>59</v>
      </c>
      <c r="B19" s="418"/>
      <c r="C19" s="418"/>
      <c r="D19" s="419"/>
      <c r="E19" s="324">
        <f>E7+E8+E9+E10+E11+E12+E13+E14+E15+E16+E17+E18</f>
        <v>2804685300</v>
      </c>
      <c r="F19" s="325">
        <f>F7+F8+F9+F10+F11+F12+F13+F14+F15+F16+F17+F18</f>
        <v>2732460062.7499995</v>
      </c>
      <c r="G19" s="326">
        <f t="shared" ref="G19:I19" si="3">G7+G8+G9+G10+G11+G12+G13+G14+G15+G16+G17+G18</f>
        <v>0.25412075750552726</v>
      </c>
      <c r="H19" s="326">
        <f t="shared" si="3"/>
        <v>10.22291703031742</v>
      </c>
      <c r="I19" s="326">
        <f t="shared" si="3"/>
        <v>51.114585151587107</v>
      </c>
    </row>
    <row r="20" spans="1:9" ht="15.75" x14ac:dyDescent="0.25">
      <c r="A20" s="390" t="s">
        <v>204</v>
      </c>
      <c r="B20" s="391"/>
      <c r="C20" s="391"/>
      <c r="D20" s="392"/>
      <c r="E20" s="308"/>
      <c r="F20" s="309"/>
      <c r="G20" s="321">
        <f>G19/12</f>
        <v>2.1176729792127272E-2</v>
      </c>
      <c r="H20" s="321">
        <f t="shared" ref="H20:I20" si="4">H19/12</f>
        <v>0.85190975252645174</v>
      </c>
      <c r="I20" s="321">
        <f t="shared" si="4"/>
        <v>4.2595487626322592</v>
      </c>
    </row>
    <row r="21" spans="1:9" ht="15.6" x14ac:dyDescent="0.3">
      <c r="A21" s="15"/>
      <c r="B21" s="15"/>
      <c r="C21" s="15"/>
      <c r="D21" s="15"/>
      <c r="E21" s="16"/>
      <c r="F21" s="17"/>
      <c r="G21" s="18"/>
      <c r="H21" s="18"/>
      <c r="I21" s="18"/>
    </row>
    <row r="22" spans="1:9" ht="15.6" x14ac:dyDescent="0.3">
      <c r="A22" s="15"/>
      <c r="B22" s="15"/>
      <c r="C22" s="15"/>
      <c r="D22" s="15"/>
      <c r="E22" s="39"/>
      <c r="F22" s="17"/>
      <c r="G22" s="17"/>
      <c r="H22" s="17"/>
      <c r="I22" s="17"/>
    </row>
    <row r="23" spans="1:9" ht="15.75" x14ac:dyDescent="0.25">
      <c r="A23" s="386" t="s">
        <v>119</v>
      </c>
      <c r="B23" s="386"/>
      <c r="C23" s="386"/>
      <c r="D23" s="386"/>
      <c r="E23" s="386"/>
      <c r="F23" s="386"/>
      <c r="G23" s="386"/>
      <c r="H23" s="386"/>
      <c r="I23" s="386"/>
    </row>
    <row r="24" spans="1:9" ht="15.6" x14ac:dyDescent="0.3">
      <c r="A24" s="376"/>
      <c r="B24" s="377"/>
      <c r="C24" s="378"/>
      <c r="D24" s="17"/>
      <c r="E24" s="17"/>
      <c r="F24" s="17"/>
      <c r="G24" s="17"/>
      <c r="H24" s="17"/>
      <c r="I24" s="17"/>
    </row>
  </sheetData>
  <mergeCells count="8">
    <mergeCell ref="A24:C24"/>
    <mergeCell ref="A2:I2"/>
    <mergeCell ref="E3:F3"/>
    <mergeCell ref="I4:I6"/>
    <mergeCell ref="E4:F4"/>
    <mergeCell ref="A23:I23"/>
    <mergeCell ref="A19:D19"/>
    <mergeCell ref="A20:D20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33"/>
  <sheetViews>
    <sheetView topLeftCell="A7" zoomScale="110" zoomScaleNormal="110" workbookViewId="0">
      <selection activeCell="K16" sqref="K16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3.42578125" style="17" customWidth="1"/>
    <col min="4" max="4" width="54" style="17" customWidth="1"/>
    <col min="5" max="5" width="16" style="17" customWidth="1"/>
    <col min="6" max="6" width="16.28515625" style="17" customWidth="1"/>
    <col min="7" max="7" width="14.7109375" style="17" customWidth="1"/>
    <col min="8" max="8" width="20" style="17" customWidth="1"/>
    <col min="9" max="9" width="12.5703125" style="17" customWidth="1"/>
    <col min="10" max="16384" width="9.140625" style="17"/>
  </cols>
  <sheetData>
    <row r="1" spans="1:173" x14ac:dyDescent="0.25">
      <c r="A1" s="420" t="s">
        <v>83</v>
      </c>
      <c r="B1" s="421"/>
      <c r="C1" s="421"/>
      <c r="D1" s="421"/>
      <c r="E1" s="421"/>
      <c r="F1" s="421"/>
      <c r="G1" s="421"/>
      <c r="H1" s="421"/>
      <c r="I1" s="421"/>
    </row>
    <row r="2" spans="1:173" ht="16.5" thickBot="1" x14ac:dyDescent="0.3">
      <c r="D2" s="139" t="s">
        <v>76</v>
      </c>
      <c r="E2" s="422" t="s">
        <v>0</v>
      </c>
      <c r="F2" s="422"/>
    </row>
    <row r="3" spans="1:173" ht="34.5" customHeight="1" thickBot="1" x14ac:dyDescent="0.3">
      <c r="A3" s="71" t="s">
        <v>1</v>
      </c>
      <c r="B3" s="51"/>
      <c r="C3" s="52" t="s">
        <v>2</v>
      </c>
      <c r="D3" s="52" t="s">
        <v>3</v>
      </c>
      <c r="E3" s="423" t="s">
        <v>75</v>
      </c>
      <c r="F3" s="423"/>
      <c r="G3" s="85"/>
      <c r="H3" s="426" t="s">
        <v>74</v>
      </c>
      <c r="I3" s="424" t="s">
        <v>58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</row>
    <row r="4" spans="1:173" ht="61.5" customHeight="1" thickBot="1" x14ac:dyDescent="0.3">
      <c r="A4" s="49"/>
      <c r="B4" s="86"/>
      <c r="C4" s="86"/>
      <c r="D4" s="86"/>
      <c r="E4" s="53" t="s">
        <v>81</v>
      </c>
      <c r="F4" s="53" t="s">
        <v>82</v>
      </c>
      <c r="G4" s="70" t="s">
        <v>80</v>
      </c>
      <c r="H4" s="425"/>
      <c r="I4" s="425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</row>
    <row r="5" spans="1:173" ht="30" customHeight="1" thickBot="1" x14ac:dyDescent="0.3">
      <c r="A5" s="90"/>
      <c r="B5" s="13"/>
      <c r="C5" s="13"/>
      <c r="D5" s="13"/>
      <c r="E5" s="13" t="s">
        <v>77</v>
      </c>
      <c r="F5" s="14" t="s">
        <v>78</v>
      </c>
      <c r="G5" s="43" t="s">
        <v>79</v>
      </c>
      <c r="H5" s="91" t="s">
        <v>90</v>
      </c>
      <c r="I5" s="42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</row>
    <row r="6" spans="1:173" x14ac:dyDescent="0.25">
      <c r="A6" s="55" t="s">
        <v>9</v>
      </c>
      <c r="B6" s="87" t="s">
        <v>10</v>
      </c>
      <c r="C6" s="88" t="s">
        <v>11</v>
      </c>
      <c r="D6" s="89" t="s">
        <v>12</v>
      </c>
      <c r="E6" s="141">
        <v>97156.26</v>
      </c>
      <c r="F6" s="142">
        <v>97200</v>
      </c>
      <c r="G6" s="102">
        <f>1-(E6/F6)</f>
        <v>4.5000000000006146E-4</v>
      </c>
      <c r="H6" s="149">
        <v>1</v>
      </c>
      <c r="I6" s="103">
        <f>H6*5</f>
        <v>5</v>
      </c>
    </row>
    <row r="7" spans="1:173" ht="18.75" customHeight="1" x14ac:dyDescent="0.25">
      <c r="A7" s="58" t="s">
        <v>16</v>
      </c>
      <c r="B7" s="59" t="s">
        <v>13</v>
      </c>
      <c r="C7" s="60" t="s">
        <v>14</v>
      </c>
      <c r="D7" s="61" t="s">
        <v>15</v>
      </c>
      <c r="E7" s="143">
        <v>162391699.91999999</v>
      </c>
      <c r="F7" s="144">
        <v>162648620</v>
      </c>
      <c r="G7" s="102">
        <f t="shared" ref="G7:G17" si="0">1-(E7/F7)</f>
        <v>1.5796019664969796E-3</v>
      </c>
      <c r="H7" s="150">
        <v>1</v>
      </c>
      <c r="I7" s="104">
        <f>H7*5</f>
        <v>5</v>
      </c>
    </row>
    <row r="8" spans="1:173" x14ac:dyDescent="0.25">
      <c r="A8" s="58" t="s">
        <v>17</v>
      </c>
      <c r="B8" s="59" t="s">
        <v>23</v>
      </c>
      <c r="C8" s="60" t="s">
        <v>24</v>
      </c>
      <c r="D8" s="61" t="s">
        <v>25</v>
      </c>
      <c r="E8" s="143">
        <v>3097545</v>
      </c>
      <c r="F8" s="144">
        <v>3097545</v>
      </c>
      <c r="G8" s="102">
        <f t="shared" si="0"/>
        <v>0</v>
      </c>
      <c r="H8" s="150">
        <v>1</v>
      </c>
      <c r="I8" s="104">
        <f t="shared" ref="I8:I17" si="1">H8*5</f>
        <v>5</v>
      </c>
    </row>
    <row r="9" spans="1:173" ht="31.5" x14ac:dyDescent="0.25">
      <c r="A9" s="58" t="s">
        <v>18</v>
      </c>
      <c r="B9" s="59" t="s">
        <v>26</v>
      </c>
      <c r="C9" s="60" t="s">
        <v>27</v>
      </c>
      <c r="D9" s="61" t="s">
        <v>28</v>
      </c>
      <c r="E9" s="143">
        <v>40850</v>
      </c>
      <c r="F9" s="144">
        <v>40900</v>
      </c>
      <c r="G9" s="102">
        <f t="shared" si="0"/>
        <v>1.2224938875305957E-3</v>
      </c>
      <c r="H9" s="150">
        <v>1</v>
      </c>
      <c r="I9" s="104">
        <f t="shared" si="1"/>
        <v>5</v>
      </c>
    </row>
    <row r="10" spans="1:173" ht="31.5" x14ac:dyDescent="0.25">
      <c r="A10" s="58" t="s">
        <v>19</v>
      </c>
      <c r="B10" s="59" t="s">
        <v>29</v>
      </c>
      <c r="C10" s="60" t="s">
        <v>30</v>
      </c>
      <c r="D10" s="61" t="s">
        <v>31</v>
      </c>
      <c r="E10" s="143">
        <v>736372.87</v>
      </c>
      <c r="F10" s="144">
        <v>736600</v>
      </c>
      <c r="G10" s="102">
        <f t="shared" si="0"/>
        <v>3.0834917187072541E-4</v>
      </c>
      <c r="H10" s="150">
        <v>1</v>
      </c>
      <c r="I10" s="104">
        <f t="shared" si="1"/>
        <v>5</v>
      </c>
    </row>
    <row r="11" spans="1:173" ht="19.5" customHeight="1" x14ac:dyDescent="0.25">
      <c r="A11" s="58" t="s">
        <v>20</v>
      </c>
      <c r="B11" s="59" t="s">
        <v>32</v>
      </c>
      <c r="C11" s="60" t="s">
        <v>33</v>
      </c>
      <c r="D11" s="61" t="s">
        <v>34</v>
      </c>
      <c r="E11" s="143">
        <v>14450</v>
      </c>
      <c r="F11" s="144">
        <v>14500</v>
      </c>
      <c r="G11" s="102">
        <f t="shared" si="0"/>
        <v>3.4482758620689724E-3</v>
      </c>
      <c r="H11" s="150">
        <v>1</v>
      </c>
      <c r="I11" s="104">
        <f t="shared" si="1"/>
        <v>5</v>
      </c>
    </row>
    <row r="12" spans="1:173" x14ac:dyDescent="0.25">
      <c r="A12" s="58" t="s">
        <v>21</v>
      </c>
      <c r="B12" s="59" t="s">
        <v>35</v>
      </c>
      <c r="C12" s="60" t="s">
        <v>36</v>
      </c>
      <c r="D12" s="61" t="s">
        <v>37</v>
      </c>
      <c r="E12" s="143">
        <v>149055162.5</v>
      </c>
      <c r="F12" s="144">
        <v>155025200</v>
      </c>
      <c r="G12" s="102">
        <f>1-(E12/F12)</f>
        <v>3.8510109969217887E-2</v>
      </c>
      <c r="H12" s="150">
        <v>1</v>
      </c>
      <c r="I12" s="104">
        <f t="shared" si="1"/>
        <v>5</v>
      </c>
    </row>
    <row r="13" spans="1:173" x14ac:dyDescent="0.25">
      <c r="A13" s="58" t="s">
        <v>22</v>
      </c>
      <c r="B13" s="59" t="s">
        <v>41</v>
      </c>
      <c r="C13" s="60" t="s">
        <v>39</v>
      </c>
      <c r="D13" s="61" t="s">
        <v>40</v>
      </c>
      <c r="E13" s="145">
        <v>21286548.98</v>
      </c>
      <c r="F13" s="143">
        <v>22527016.920000002</v>
      </c>
      <c r="G13" s="102">
        <f>1-(E13/F13)</f>
        <v>5.5065788089264767E-2</v>
      </c>
      <c r="H13" s="150">
        <v>1</v>
      </c>
      <c r="I13" s="104">
        <f t="shared" si="1"/>
        <v>5</v>
      </c>
    </row>
    <row r="14" spans="1:173" x14ac:dyDescent="0.25">
      <c r="A14" s="62">
        <v>9</v>
      </c>
      <c r="B14" s="59" t="s">
        <v>42</v>
      </c>
      <c r="C14" s="60" t="s">
        <v>43</v>
      </c>
      <c r="D14" s="61" t="s">
        <v>44</v>
      </c>
      <c r="E14" s="145">
        <v>2523396.5</v>
      </c>
      <c r="F14" s="143">
        <v>2523400</v>
      </c>
      <c r="G14" s="102">
        <f t="shared" si="0"/>
        <v>1.3870175160635156E-6</v>
      </c>
      <c r="H14" s="150">
        <v>1</v>
      </c>
      <c r="I14" s="104">
        <f t="shared" si="1"/>
        <v>5</v>
      </c>
    </row>
    <row r="15" spans="1:173" x14ac:dyDescent="0.25">
      <c r="A15" s="62">
        <v>10</v>
      </c>
      <c r="B15" s="59" t="s">
        <v>45</v>
      </c>
      <c r="C15" s="60" t="s">
        <v>46</v>
      </c>
      <c r="D15" s="61" t="s">
        <v>47</v>
      </c>
      <c r="E15" s="145">
        <v>579249.89</v>
      </c>
      <c r="F15" s="143">
        <v>579300</v>
      </c>
      <c r="G15" s="102">
        <f t="shared" si="0"/>
        <v>8.6500949421641771E-5</v>
      </c>
      <c r="H15" s="150">
        <v>1</v>
      </c>
      <c r="I15" s="104">
        <f t="shared" si="1"/>
        <v>5</v>
      </c>
    </row>
    <row r="16" spans="1:173" x14ac:dyDescent="0.25">
      <c r="A16" s="62">
        <v>11</v>
      </c>
      <c r="B16" s="59" t="s">
        <v>48</v>
      </c>
      <c r="C16" s="60" t="s">
        <v>49</v>
      </c>
      <c r="D16" s="61" t="s">
        <v>50</v>
      </c>
      <c r="E16" s="145">
        <v>2192669.58</v>
      </c>
      <c r="F16" s="143">
        <v>2192800</v>
      </c>
      <c r="G16" s="102">
        <f t="shared" si="0"/>
        <v>5.9476468442176689E-5</v>
      </c>
      <c r="H16" s="150">
        <v>1</v>
      </c>
      <c r="I16" s="104">
        <f t="shared" si="1"/>
        <v>5</v>
      </c>
    </row>
    <row r="17" spans="1:9" ht="34.5" customHeight="1" thickBot="1" x14ac:dyDescent="0.3">
      <c r="A17" s="92" t="s">
        <v>38</v>
      </c>
      <c r="B17" s="93" t="s">
        <v>51</v>
      </c>
      <c r="C17" s="94" t="s">
        <v>52</v>
      </c>
      <c r="D17" s="95" t="s">
        <v>53</v>
      </c>
      <c r="E17" s="146">
        <v>1591400</v>
      </c>
      <c r="F17" s="147">
        <v>1591400</v>
      </c>
      <c r="G17" s="102">
        <f t="shared" si="0"/>
        <v>0</v>
      </c>
      <c r="H17" s="151">
        <v>1</v>
      </c>
      <c r="I17" s="104">
        <f t="shared" si="1"/>
        <v>5</v>
      </c>
    </row>
    <row r="18" spans="1:9" ht="16.5" thickBot="1" x14ac:dyDescent="0.3">
      <c r="A18" s="96" t="s">
        <v>38</v>
      </c>
      <c r="B18" s="97"/>
      <c r="C18" s="98"/>
      <c r="D18" s="99" t="s">
        <v>59</v>
      </c>
      <c r="E18" s="148">
        <f>SUM(E6:E17)</f>
        <v>343606501.49999994</v>
      </c>
      <c r="F18" s="148">
        <f>SUM(F6:F17)</f>
        <v>351074481.92000002</v>
      </c>
      <c r="G18" s="100">
        <f>SUM(G6:G17)</f>
        <v>0.10073198338182987</v>
      </c>
      <c r="H18" s="101"/>
      <c r="I18" s="275">
        <f>SUM(I6:I17)/12</f>
        <v>5</v>
      </c>
    </row>
    <row r="19" spans="1:9" ht="15.6" x14ac:dyDescent="0.3">
      <c r="H19" s="82"/>
    </row>
    <row r="20" spans="1:9" x14ac:dyDescent="0.25">
      <c r="D20" s="17" t="s">
        <v>56</v>
      </c>
      <c r="G20" s="18">
        <f>G18/A18</f>
        <v>8.3943319484858225E-3</v>
      </c>
      <c r="I20" s="306">
        <f>I18</f>
        <v>5</v>
      </c>
    </row>
    <row r="21" spans="1:9" ht="15.6" x14ac:dyDescent="0.3">
      <c r="E21" s="67"/>
    </row>
    <row r="23" spans="1:9" x14ac:dyDescent="0.25">
      <c r="A23" s="386" t="s">
        <v>91</v>
      </c>
      <c r="B23" s="386"/>
      <c r="C23" s="386"/>
      <c r="D23" s="386"/>
      <c r="E23" s="386"/>
      <c r="F23" s="386"/>
      <c r="G23" s="386"/>
      <c r="H23" s="386"/>
      <c r="I23" s="386"/>
    </row>
    <row r="24" spans="1:9" ht="15.6" x14ac:dyDescent="0.3">
      <c r="A24" s="376">
        <v>44284</v>
      </c>
      <c r="B24" s="377"/>
      <c r="C24" s="378"/>
    </row>
    <row r="31" spans="1:9" ht="15.6" x14ac:dyDescent="0.3">
      <c r="E31" s="68"/>
    </row>
    <row r="33" spans="1:4" ht="15.6" x14ac:dyDescent="0.3">
      <c r="A33" s="69"/>
      <c r="B33" s="69"/>
      <c r="D33" s="50"/>
    </row>
  </sheetData>
  <mergeCells count="7">
    <mergeCell ref="A23:I23"/>
    <mergeCell ref="A24:C24"/>
    <mergeCell ref="A1:I1"/>
    <mergeCell ref="E2:F2"/>
    <mergeCell ref="E3:F3"/>
    <mergeCell ref="I3:I5"/>
    <mergeCell ref="H3:H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31"/>
  <sheetViews>
    <sheetView view="pageBreakPreview" zoomScale="60" zoomScaleNormal="110" workbookViewId="0">
      <selection activeCell="G13" sqref="G13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5.85546875" style="17" customWidth="1"/>
    <col min="5" max="5" width="11.7109375" style="17" customWidth="1"/>
    <col min="6" max="6" width="11.85546875" style="17" customWidth="1"/>
    <col min="7" max="7" width="16" style="17" customWidth="1"/>
    <col min="8" max="8" width="14.140625" style="17" customWidth="1"/>
    <col min="9" max="9" width="12.5703125" style="17" customWidth="1"/>
    <col min="10" max="16384" width="9.140625" style="17"/>
  </cols>
  <sheetData>
    <row r="1" spans="1:173" ht="43.9" customHeight="1" x14ac:dyDescent="0.25">
      <c r="A1" s="429" t="s">
        <v>218</v>
      </c>
      <c r="B1" s="429"/>
      <c r="C1" s="429"/>
      <c r="D1" s="429"/>
      <c r="E1" s="429"/>
      <c r="F1" s="429"/>
      <c r="G1" s="429"/>
      <c r="H1" s="429"/>
      <c r="I1" s="429"/>
    </row>
    <row r="2" spans="1:173" ht="15.6" x14ac:dyDescent="0.3">
      <c r="D2" s="139"/>
      <c r="E2" s="430"/>
      <c r="F2" s="430"/>
    </row>
    <row r="3" spans="1:173" ht="15.75" customHeight="1" x14ac:dyDescent="0.25">
      <c r="A3" s="342" t="s">
        <v>1</v>
      </c>
      <c r="B3" s="342"/>
      <c r="C3" s="342" t="s">
        <v>2</v>
      </c>
      <c r="D3" s="342" t="s">
        <v>3</v>
      </c>
      <c r="E3" s="431" t="s">
        <v>54</v>
      </c>
      <c r="F3" s="431"/>
      <c r="G3" s="342"/>
      <c r="H3" s="431" t="s">
        <v>89</v>
      </c>
      <c r="I3" s="431" t="s">
        <v>58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</row>
    <row r="4" spans="1:173" ht="32.25" customHeight="1" x14ac:dyDescent="0.25">
      <c r="A4" s="342"/>
      <c r="B4" s="342"/>
      <c r="C4" s="342"/>
      <c r="D4" s="342"/>
      <c r="E4" s="342" t="s">
        <v>5</v>
      </c>
      <c r="F4" s="342" t="s">
        <v>6</v>
      </c>
      <c r="G4" s="342" t="s">
        <v>80</v>
      </c>
      <c r="H4" s="432"/>
      <c r="I4" s="43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</row>
    <row r="5" spans="1:173" ht="36.75" customHeight="1" x14ac:dyDescent="0.25">
      <c r="A5" s="74"/>
      <c r="B5" s="74"/>
      <c r="C5" s="74"/>
      <c r="D5" s="74"/>
      <c r="E5" s="342" t="s">
        <v>7</v>
      </c>
      <c r="F5" s="342" t="s">
        <v>8</v>
      </c>
      <c r="G5" s="342" t="s">
        <v>57</v>
      </c>
      <c r="H5" s="432"/>
      <c r="I5" s="432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</row>
    <row r="6" spans="1:173" x14ac:dyDescent="0.25">
      <c r="A6" s="60" t="s">
        <v>9</v>
      </c>
      <c r="B6" s="60" t="s">
        <v>10</v>
      </c>
      <c r="C6" s="60" t="s">
        <v>11</v>
      </c>
      <c r="D6" s="61" t="s">
        <v>12</v>
      </c>
      <c r="E6" s="9">
        <v>400</v>
      </c>
      <c r="F6" s="9">
        <v>47</v>
      </c>
      <c r="G6" s="4">
        <f t="shared" ref="G6:G17" si="0">F6/E6*100</f>
        <v>11.75</v>
      </c>
      <c r="H6" s="2">
        <f>IF(G6&gt;10,0,1-(G6/100))</f>
        <v>0</v>
      </c>
      <c r="I6" s="198">
        <f>H6*5</f>
        <v>0</v>
      </c>
    </row>
    <row r="7" spans="1:173" ht="18.75" customHeight="1" x14ac:dyDescent="0.25">
      <c r="A7" s="60" t="s">
        <v>16</v>
      </c>
      <c r="B7" s="60" t="s">
        <v>13</v>
      </c>
      <c r="C7" s="60" t="s">
        <v>14</v>
      </c>
      <c r="D7" s="61" t="s">
        <v>15</v>
      </c>
      <c r="E7" s="9">
        <v>7023</v>
      </c>
      <c r="F7" s="9">
        <v>222</v>
      </c>
      <c r="G7" s="2">
        <f t="shared" si="0"/>
        <v>3.1610422896198207</v>
      </c>
      <c r="H7" s="2">
        <f>IF(G7&gt;10,0,1-(G7/100))</f>
        <v>0.9683895771038018</v>
      </c>
      <c r="I7" s="198">
        <f t="shared" ref="I7:I17" si="1">H7*5</f>
        <v>4.8419478855190086</v>
      </c>
    </row>
    <row r="8" spans="1:173" x14ac:dyDescent="0.25">
      <c r="A8" s="60" t="s">
        <v>17</v>
      </c>
      <c r="B8" s="60" t="s">
        <v>23</v>
      </c>
      <c r="C8" s="60" t="s">
        <v>24</v>
      </c>
      <c r="D8" s="61" t="s">
        <v>25</v>
      </c>
      <c r="E8" s="9">
        <v>417</v>
      </c>
      <c r="F8" s="9">
        <v>15</v>
      </c>
      <c r="G8" s="2">
        <f t="shared" si="0"/>
        <v>3.5971223021582732</v>
      </c>
      <c r="H8" s="2">
        <f t="shared" ref="H8:H17" si="2">IF(G8&gt;10,0,1-(G8/100))</f>
        <v>0.96402877697841727</v>
      </c>
      <c r="I8" s="198">
        <f t="shared" si="1"/>
        <v>4.8201438848920866</v>
      </c>
    </row>
    <row r="9" spans="1:173" ht="31.5" x14ac:dyDescent="0.25">
      <c r="A9" s="60" t="s">
        <v>18</v>
      </c>
      <c r="B9" s="60" t="s">
        <v>26</v>
      </c>
      <c r="C9" s="60" t="s">
        <v>27</v>
      </c>
      <c r="D9" s="61" t="s">
        <v>28</v>
      </c>
      <c r="E9" s="9">
        <v>213</v>
      </c>
      <c r="F9" s="9">
        <v>1</v>
      </c>
      <c r="G9" s="2">
        <f t="shared" si="0"/>
        <v>0.46948356807511737</v>
      </c>
      <c r="H9" s="2">
        <f t="shared" si="2"/>
        <v>0.99530516431924887</v>
      </c>
      <c r="I9" s="198">
        <f t="shared" si="1"/>
        <v>4.976525821596244</v>
      </c>
    </row>
    <row r="10" spans="1:173" ht="31.5" x14ac:dyDescent="0.25">
      <c r="A10" s="60" t="s">
        <v>19</v>
      </c>
      <c r="B10" s="60" t="s">
        <v>29</v>
      </c>
      <c r="C10" s="60" t="s">
        <v>30</v>
      </c>
      <c r="D10" s="61" t="s">
        <v>31</v>
      </c>
      <c r="E10" s="9">
        <v>564</v>
      </c>
      <c r="F10" s="9">
        <v>17</v>
      </c>
      <c r="G10" s="2">
        <f t="shared" si="0"/>
        <v>3.0141843971631204</v>
      </c>
      <c r="H10" s="2">
        <f t="shared" si="2"/>
        <v>0.96985815602836878</v>
      </c>
      <c r="I10" s="198">
        <f t="shared" si="1"/>
        <v>4.8492907801418443</v>
      </c>
    </row>
    <row r="11" spans="1:173" ht="19.5" customHeight="1" x14ac:dyDescent="0.25">
      <c r="A11" s="60" t="s">
        <v>20</v>
      </c>
      <c r="B11" s="60" t="s">
        <v>32</v>
      </c>
      <c r="C11" s="60" t="s">
        <v>33</v>
      </c>
      <c r="D11" s="61" t="s">
        <v>34</v>
      </c>
      <c r="E11" s="9">
        <v>245</v>
      </c>
      <c r="F11" s="9">
        <v>2</v>
      </c>
      <c r="G11" s="2">
        <f t="shared" si="0"/>
        <v>0.81632653061224492</v>
      </c>
      <c r="H11" s="2">
        <f t="shared" si="2"/>
        <v>0.99183673469387756</v>
      </c>
      <c r="I11" s="198">
        <f t="shared" si="1"/>
        <v>4.9591836734693882</v>
      </c>
    </row>
    <row r="12" spans="1:173" x14ac:dyDescent="0.25">
      <c r="A12" s="60" t="s">
        <v>21</v>
      </c>
      <c r="B12" s="60" t="s">
        <v>35</v>
      </c>
      <c r="C12" s="60" t="s">
        <v>36</v>
      </c>
      <c r="D12" s="61" t="s">
        <v>37</v>
      </c>
      <c r="E12" s="9">
        <v>1433</v>
      </c>
      <c r="F12" s="9">
        <v>46</v>
      </c>
      <c r="G12" s="2">
        <f t="shared" si="0"/>
        <v>3.2100488485694347</v>
      </c>
      <c r="H12" s="2">
        <f t="shared" si="2"/>
        <v>0.96789951151430564</v>
      </c>
      <c r="I12" s="198">
        <f t="shared" si="1"/>
        <v>4.8394975575715282</v>
      </c>
    </row>
    <row r="13" spans="1:173" x14ac:dyDescent="0.25">
      <c r="A13" s="60" t="s">
        <v>22</v>
      </c>
      <c r="B13" s="60" t="s">
        <v>41</v>
      </c>
      <c r="C13" s="60" t="s">
        <v>39</v>
      </c>
      <c r="D13" s="61" t="s">
        <v>40</v>
      </c>
      <c r="E13" s="9">
        <v>101999</v>
      </c>
      <c r="F13" s="9">
        <v>2571</v>
      </c>
      <c r="G13" s="2">
        <f t="shared" si="0"/>
        <v>2.5206129471857568</v>
      </c>
      <c r="H13" s="2">
        <f t="shared" si="2"/>
        <v>0.97479387052814248</v>
      </c>
      <c r="I13" s="198">
        <f t="shared" si="1"/>
        <v>4.873969352640712</v>
      </c>
    </row>
    <row r="14" spans="1:173" x14ac:dyDescent="0.25">
      <c r="A14" s="371">
        <v>9</v>
      </c>
      <c r="B14" s="60" t="s">
        <v>42</v>
      </c>
      <c r="C14" s="60" t="s">
        <v>43</v>
      </c>
      <c r="D14" s="61" t="s">
        <v>44</v>
      </c>
      <c r="E14" s="9">
        <v>6167</v>
      </c>
      <c r="F14" s="9">
        <v>283</v>
      </c>
      <c r="G14" s="4">
        <f t="shared" si="0"/>
        <v>4.588941138316847</v>
      </c>
      <c r="H14" s="2">
        <f t="shared" si="2"/>
        <v>0.95411058861683151</v>
      </c>
      <c r="I14" s="198">
        <f t="shared" si="1"/>
        <v>4.7705529430841578</v>
      </c>
    </row>
    <row r="15" spans="1:173" x14ac:dyDescent="0.25">
      <c r="A15" s="371">
        <v>10</v>
      </c>
      <c r="B15" s="60" t="s">
        <v>45</v>
      </c>
      <c r="C15" s="60" t="s">
        <v>46</v>
      </c>
      <c r="D15" s="61" t="s">
        <v>47</v>
      </c>
      <c r="E15" s="9">
        <v>852</v>
      </c>
      <c r="F15" s="9">
        <v>39</v>
      </c>
      <c r="G15" s="4">
        <f t="shared" si="0"/>
        <v>4.5774647887323949</v>
      </c>
      <c r="H15" s="2">
        <f t="shared" si="2"/>
        <v>0.95422535211267601</v>
      </c>
      <c r="I15" s="198">
        <f t="shared" si="1"/>
        <v>4.77112676056338</v>
      </c>
    </row>
    <row r="16" spans="1:173" x14ac:dyDescent="0.25">
      <c r="A16" s="371">
        <v>11</v>
      </c>
      <c r="B16" s="60" t="s">
        <v>48</v>
      </c>
      <c r="C16" s="60" t="s">
        <v>49</v>
      </c>
      <c r="D16" s="61" t="s">
        <v>50</v>
      </c>
      <c r="E16" s="9">
        <v>1058</v>
      </c>
      <c r="F16" s="9">
        <v>50</v>
      </c>
      <c r="G16" s="4">
        <f t="shared" si="0"/>
        <v>4.7258979206049148</v>
      </c>
      <c r="H16" s="2">
        <f t="shared" si="2"/>
        <v>0.95274102079395084</v>
      </c>
      <c r="I16" s="198">
        <f t="shared" si="1"/>
        <v>4.7637051039697544</v>
      </c>
    </row>
    <row r="17" spans="1:9" x14ac:dyDescent="0.25">
      <c r="A17" s="60" t="s">
        <v>38</v>
      </c>
      <c r="B17" s="60" t="s">
        <v>51</v>
      </c>
      <c r="C17" s="60" t="s">
        <v>52</v>
      </c>
      <c r="D17" s="61" t="s">
        <v>53</v>
      </c>
      <c r="E17" s="9">
        <v>5322</v>
      </c>
      <c r="F17" s="9">
        <v>66</v>
      </c>
      <c r="G17" s="2">
        <f t="shared" si="0"/>
        <v>1.2401352874859075</v>
      </c>
      <c r="H17" s="2">
        <f t="shared" si="2"/>
        <v>0.98759864712514089</v>
      </c>
      <c r="I17" s="198">
        <f t="shared" si="1"/>
        <v>4.9379932356257044</v>
      </c>
    </row>
    <row r="18" spans="1:9" s="66" customFormat="1" x14ac:dyDescent="0.25">
      <c r="A18" s="372" t="s">
        <v>38</v>
      </c>
      <c r="B18" s="372"/>
      <c r="C18" s="372"/>
      <c r="D18" s="373" t="s">
        <v>59</v>
      </c>
      <c r="E18" s="370">
        <f>E6+E7+E8+E9+E10+E11+E12+E13+E14+E15+E16+E17</f>
        <v>125693</v>
      </c>
      <c r="F18" s="370">
        <f>F6+F7+F8+F9+F10+F11+F12+F13+F14+F15+F16+F17</f>
        <v>3359</v>
      </c>
      <c r="G18" s="374">
        <f>SUM(G6:G17)</f>
        <v>43.671260018523824</v>
      </c>
      <c r="H18" s="374"/>
      <c r="I18" s="375">
        <f>SUM(I6:I17)/12</f>
        <v>4.4503280832561511</v>
      </c>
    </row>
    <row r="19" spans="1:9" ht="15.6" x14ac:dyDescent="0.3">
      <c r="H19" s="82"/>
    </row>
    <row r="21" spans="1:9" x14ac:dyDescent="0.25">
      <c r="A21" s="386" t="s">
        <v>91</v>
      </c>
      <c r="B21" s="386"/>
      <c r="C21" s="386"/>
      <c r="D21" s="386"/>
      <c r="E21" s="386"/>
      <c r="F21" s="386"/>
    </row>
    <row r="22" spans="1:9" ht="15.6" x14ac:dyDescent="0.3">
      <c r="A22" s="427"/>
      <c r="B22" s="386"/>
      <c r="C22" s="428"/>
    </row>
    <row r="29" spans="1:9" ht="15.6" x14ac:dyDescent="0.3">
      <c r="E29" s="68"/>
    </row>
    <row r="31" spans="1:9" ht="15.6" x14ac:dyDescent="0.3">
      <c r="A31" s="69"/>
      <c r="B31" s="69"/>
      <c r="D31" s="50"/>
    </row>
  </sheetData>
  <mergeCells count="7">
    <mergeCell ref="A21:F21"/>
    <mergeCell ref="A22:C22"/>
    <mergeCell ref="A1:I1"/>
    <mergeCell ref="E2:F2"/>
    <mergeCell ref="E3:F3"/>
    <mergeCell ref="I3:I5"/>
    <mergeCell ref="H3:H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4" zoomScale="110" zoomScaleNormal="110" workbookViewId="0">
      <selection activeCell="I19" sqref="I19"/>
    </sheetView>
  </sheetViews>
  <sheetFormatPr defaultColWidth="9.140625" defaultRowHeight="15.75" x14ac:dyDescent="0.25"/>
  <cols>
    <col min="1" max="1" width="3.85546875" style="24" customWidth="1"/>
    <col min="2" max="2" width="5.28515625" style="24" customWidth="1"/>
    <col min="3" max="3" width="14" style="24" customWidth="1"/>
    <col min="4" max="4" width="62.42578125" style="24" customWidth="1"/>
    <col min="5" max="5" width="11.5703125" style="24" customWidth="1"/>
    <col min="6" max="6" width="11.5703125" style="17" customWidth="1"/>
    <col min="7" max="7" width="16.28515625" style="17" customWidth="1"/>
    <col min="8" max="8" width="18.42578125" style="17" customWidth="1"/>
    <col min="9" max="9" width="12.140625" style="17" customWidth="1"/>
    <col min="10" max="16384" width="9.140625" style="24"/>
  </cols>
  <sheetData>
    <row r="1" spans="1:9" ht="36" customHeight="1" x14ac:dyDescent="0.25">
      <c r="A1" s="379" t="s">
        <v>84</v>
      </c>
      <c r="B1" s="380"/>
      <c r="C1" s="380"/>
      <c r="D1" s="380"/>
      <c r="E1" s="380"/>
      <c r="F1" s="380"/>
      <c r="G1" s="380"/>
      <c r="H1" s="380"/>
      <c r="I1" s="380"/>
    </row>
    <row r="2" spans="1:9" ht="16.5" thickBot="1" x14ac:dyDescent="0.3">
      <c r="D2" s="139" t="s">
        <v>76</v>
      </c>
      <c r="E2" s="381" t="s">
        <v>0</v>
      </c>
      <c r="F2" s="381"/>
    </row>
    <row r="3" spans="1:9" ht="50.25" customHeight="1" thickBot="1" x14ac:dyDescent="0.3">
      <c r="A3" s="25" t="s">
        <v>1</v>
      </c>
      <c r="B3" s="8"/>
      <c r="C3" s="8" t="s">
        <v>2</v>
      </c>
      <c r="D3" s="8" t="s">
        <v>3</v>
      </c>
      <c r="E3" s="433" t="s">
        <v>4</v>
      </c>
      <c r="F3" s="433"/>
      <c r="G3" s="3"/>
      <c r="H3" s="3"/>
      <c r="I3" s="434" t="s">
        <v>58</v>
      </c>
    </row>
    <row r="4" spans="1:9" ht="32.25" customHeight="1" thickBot="1" x14ac:dyDescent="0.3">
      <c r="A4" s="27"/>
      <c r="B4" s="12"/>
      <c r="C4" s="12"/>
      <c r="D4" s="12"/>
      <c r="E4" s="12" t="s">
        <v>5</v>
      </c>
      <c r="F4" s="13" t="s">
        <v>6</v>
      </c>
      <c r="G4" s="14" t="s">
        <v>80</v>
      </c>
      <c r="H4" s="42" t="s">
        <v>73</v>
      </c>
      <c r="I4" s="435"/>
    </row>
    <row r="5" spans="1:9" ht="51.75" customHeight="1" thickBot="1" x14ac:dyDescent="0.3">
      <c r="A5" s="44"/>
      <c r="B5" s="45"/>
      <c r="C5" s="45"/>
      <c r="D5" s="45"/>
      <c r="E5" s="45" t="s">
        <v>7</v>
      </c>
      <c r="F5" s="46" t="s">
        <v>8</v>
      </c>
      <c r="G5" s="47" t="s">
        <v>57</v>
      </c>
      <c r="H5" s="48" t="s">
        <v>88</v>
      </c>
      <c r="I5" s="436"/>
    </row>
    <row r="6" spans="1:9" x14ac:dyDescent="0.25">
      <c r="A6" s="28" t="s">
        <v>9</v>
      </c>
      <c r="B6" s="29" t="s">
        <v>10</v>
      </c>
      <c r="C6" s="29" t="s">
        <v>11</v>
      </c>
      <c r="D6" s="30" t="s">
        <v>12</v>
      </c>
      <c r="E6" s="5">
        <v>2</v>
      </c>
      <c r="F6" s="10">
        <v>0</v>
      </c>
      <c r="G6" s="6">
        <v>0</v>
      </c>
      <c r="H6" s="152">
        <f t="shared" ref="H6:H17" si="0">IF(G6&gt;10,0,(1-G6/100))</f>
        <v>1</v>
      </c>
      <c r="I6" s="7">
        <f>H6*5</f>
        <v>5</v>
      </c>
    </row>
    <row r="7" spans="1:9" x14ac:dyDescent="0.25">
      <c r="A7" s="31" t="s">
        <v>16</v>
      </c>
      <c r="B7" s="32" t="s">
        <v>13</v>
      </c>
      <c r="C7" s="32" t="s">
        <v>14</v>
      </c>
      <c r="D7" s="33" t="s">
        <v>15</v>
      </c>
      <c r="E7" s="1">
        <v>183</v>
      </c>
      <c r="F7" s="9">
        <v>24</v>
      </c>
      <c r="G7" s="4">
        <v>13.114754098360656</v>
      </c>
      <c r="H7" s="152">
        <f t="shared" si="0"/>
        <v>0</v>
      </c>
      <c r="I7" s="11">
        <f>H7*5</f>
        <v>0</v>
      </c>
    </row>
    <row r="8" spans="1:9" x14ac:dyDescent="0.25">
      <c r="A8" s="31" t="s">
        <v>17</v>
      </c>
      <c r="B8" s="32" t="s">
        <v>23</v>
      </c>
      <c r="C8" s="32" t="s">
        <v>24</v>
      </c>
      <c r="D8" s="33" t="s">
        <v>25</v>
      </c>
      <c r="E8" s="1">
        <v>12</v>
      </c>
      <c r="F8" s="9">
        <v>0</v>
      </c>
      <c r="G8" s="2">
        <v>0</v>
      </c>
      <c r="H8" s="152">
        <f t="shared" si="0"/>
        <v>1</v>
      </c>
      <c r="I8" s="11">
        <f t="shared" ref="I8:I17" si="1">H8*5</f>
        <v>5</v>
      </c>
    </row>
    <row r="9" spans="1:9" ht="20.25" customHeight="1" x14ac:dyDescent="0.25">
      <c r="A9" s="31" t="s">
        <v>18</v>
      </c>
      <c r="B9" s="32" t="s">
        <v>26</v>
      </c>
      <c r="C9" s="32" t="s">
        <v>27</v>
      </c>
      <c r="D9" s="33" t="s">
        <v>28</v>
      </c>
      <c r="E9" s="1">
        <v>1</v>
      </c>
      <c r="F9" s="9">
        <v>0</v>
      </c>
      <c r="G9" s="2">
        <v>0</v>
      </c>
      <c r="H9" s="152">
        <f t="shared" si="0"/>
        <v>1</v>
      </c>
      <c r="I9" s="11">
        <f t="shared" si="1"/>
        <v>5</v>
      </c>
    </row>
    <row r="10" spans="1:9" ht="31.5" x14ac:dyDescent="0.25">
      <c r="A10" s="31" t="s">
        <v>19</v>
      </c>
      <c r="B10" s="32" t="s">
        <v>29</v>
      </c>
      <c r="C10" s="32" t="s">
        <v>30</v>
      </c>
      <c r="D10" s="33" t="s">
        <v>31</v>
      </c>
      <c r="E10" s="1">
        <v>3</v>
      </c>
      <c r="F10" s="9">
        <v>0</v>
      </c>
      <c r="G10" s="2">
        <v>0</v>
      </c>
      <c r="H10" s="152">
        <f t="shared" si="0"/>
        <v>1</v>
      </c>
      <c r="I10" s="11">
        <f t="shared" si="1"/>
        <v>5</v>
      </c>
    </row>
    <row r="11" spans="1:9" ht="18" customHeight="1" x14ac:dyDescent="0.25">
      <c r="A11" s="31" t="s">
        <v>20</v>
      </c>
      <c r="B11" s="32" t="s">
        <v>32</v>
      </c>
      <c r="C11" s="32" t="s">
        <v>33</v>
      </c>
      <c r="D11" s="33" t="s">
        <v>34</v>
      </c>
      <c r="E11" s="1">
        <v>1</v>
      </c>
      <c r="F11" s="9">
        <v>0</v>
      </c>
      <c r="G11" s="2">
        <v>0</v>
      </c>
      <c r="H11" s="152">
        <f t="shared" si="0"/>
        <v>1</v>
      </c>
      <c r="I11" s="11">
        <f t="shared" si="1"/>
        <v>5</v>
      </c>
    </row>
    <row r="12" spans="1:9" x14ac:dyDescent="0.25">
      <c r="A12" s="31" t="s">
        <v>21</v>
      </c>
      <c r="B12" s="32" t="s">
        <v>35</v>
      </c>
      <c r="C12" s="32" t="s">
        <v>36</v>
      </c>
      <c r="D12" s="33" t="s">
        <v>37</v>
      </c>
      <c r="E12" s="1">
        <v>55</v>
      </c>
      <c r="F12" s="9">
        <v>21</v>
      </c>
      <c r="G12" s="4">
        <v>38.181818181818187</v>
      </c>
      <c r="H12" s="152">
        <f t="shared" si="0"/>
        <v>0</v>
      </c>
      <c r="I12" s="11">
        <f t="shared" si="1"/>
        <v>0</v>
      </c>
    </row>
    <row r="13" spans="1:9" x14ac:dyDescent="0.25">
      <c r="A13" s="31" t="s">
        <v>22</v>
      </c>
      <c r="B13" s="32" t="s">
        <v>41</v>
      </c>
      <c r="C13" s="32" t="s">
        <v>39</v>
      </c>
      <c r="D13" s="33" t="s">
        <v>40</v>
      </c>
      <c r="E13" s="1">
        <v>1787</v>
      </c>
      <c r="F13" s="9">
        <v>73</v>
      </c>
      <c r="G13" s="2">
        <v>4.0850587576944601</v>
      </c>
      <c r="H13" s="152">
        <f t="shared" si="0"/>
        <v>0.9591494124230554</v>
      </c>
      <c r="I13" s="11">
        <f>H13*5</f>
        <v>4.7957470621152769</v>
      </c>
    </row>
    <row r="14" spans="1:9" x14ac:dyDescent="0.25">
      <c r="A14" s="34">
        <v>9</v>
      </c>
      <c r="B14" s="32" t="s">
        <v>42</v>
      </c>
      <c r="C14" s="32" t="s">
        <v>43</v>
      </c>
      <c r="D14" s="33" t="s">
        <v>44</v>
      </c>
      <c r="E14" s="1">
        <v>77</v>
      </c>
      <c r="F14" s="9">
        <v>18</v>
      </c>
      <c r="G14" s="4">
        <v>23.376623376623375</v>
      </c>
      <c r="H14" s="152">
        <f t="shared" si="0"/>
        <v>0</v>
      </c>
      <c r="I14" s="11">
        <f t="shared" si="1"/>
        <v>0</v>
      </c>
    </row>
    <row r="15" spans="1:9" x14ac:dyDescent="0.25">
      <c r="A15" s="34">
        <v>10</v>
      </c>
      <c r="B15" s="32" t="s">
        <v>45</v>
      </c>
      <c r="C15" s="32" t="s">
        <v>46</v>
      </c>
      <c r="D15" s="33" t="s">
        <v>47</v>
      </c>
      <c r="E15" s="1">
        <v>17</v>
      </c>
      <c r="F15" s="9">
        <v>5</v>
      </c>
      <c r="G15" s="4">
        <v>29.411764705882355</v>
      </c>
      <c r="H15" s="152">
        <f t="shared" si="0"/>
        <v>0</v>
      </c>
      <c r="I15" s="11">
        <f t="shared" si="1"/>
        <v>0</v>
      </c>
    </row>
    <row r="16" spans="1:9" x14ac:dyDescent="0.25">
      <c r="A16" s="34">
        <v>11</v>
      </c>
      <c r="B16" s="32" t="s">
        <v>48</v>
      </c>
      <c r="C16" s="32" t="s">
        <v>49</v>
      </c>
      <c r="D16" s="33" t="s">
        <v>50</v>
      </c>
      <c r="E16" s="1">
        <v>15</v>
      </c>
      <c r="F16" s="9">
        <v>3</v>
      </c>
      <c r="G16" s="4">
        <v>20</v>
      </c>
      <c r="H16" s="152">
        <f t="shared" si="0"/>
        <v>0</v>
      </c>
      <c r="I16" s="11">
        <f t="shared" si="1"/>
        <v>0</v>
      </c>
    </row>
    <row r="17" spans="1:9" ht="18" customHeight="1" x14ac:dyDescent="0.25">
      <c r="A17" s="31" t="s">
        <v>38</v>
      </c>
      <c r="B17" s="32" t="s">
        <v>51</v>
      </c>
      <c r="C17" s="32" t="s">
        <v>52</v>
      </c>
      <c r="D17" s="33" t="s">
        <v>53</v>
      </c>
      <c r="E17" s="1">
        <v>4</v>
      </c>
      <c r="F17" s="9">
        <v>1</v>
      </c>
      <c r="G17" s="4">
        <v>25</v>
      </c>
      <c r="H17" s="152">
        <f t="shared" si="0"/>
        <v>0</v>
      </c>
      <c r="I17" s="11">
        <f t="shared" si="1"/>
        <v>0</v>
      </c>
    </row>
    <row r="18" spans="1:9" s="38" customFormat="1" ht="16.5" thickBot="1" x14ac:dyDescent="0.3">
      <c r="A18" s="35" t="s">
        <v>38</v>
      </c>
      <c r="B18" s="36"/>
      <c r="C18" s="36"/>
      <c r="D18" s="37" t="s">
        <v>59</v>
      </c>
      <c r="E18" s="19">
        <f>E6+E7+E8+E9+E10+E11+E12+E13+E14+E15+E16+E17</f>
        <v>2157</v>
      </c>
      <c r="F18" s="20">
        <f>F6+F7+F8+F9+F10+F11+F12+F13+F14+F15+F16+F17</f>
        <v>145</v>
      </c>
      <c r="G18" s="21">
        <f>SUM(G6:G17)</f>
        <v>153.17001912037904</v>
      </c>
      <c r="H18" s="22"/>
      <c r="I18" s="23">
        <f>SUM(I6:I17)/12</f>
        <v>2.4829789218429394</v>
      </c>
    </row>
    <row r="19" spans="1:9" ht="15.6" x14ac:dyDescent="0.3">
      <c r="A19" s="15"/>
      <c r="B19" s="15"/>
      <c r="C19" s="15"/>
      <c r="D19" s="15"/>
      <c r="E19" s="15"/>
    </row>
    <row r="20" spans="1:9" x14ac:dyDescent="0.25">
      <c r="A20" s="15"/>
      <c r="B20" s="15"/>
      <c r="C20" s="15"/>
      <c r="D20" s="15" t="s">
        <v>56</v>
      </c>
      <c r="E20" s="16"/>
      <c r="G20" s="18">
        <f>G18/A18</f>
        <v>12.764168260031587</v>
      </c>
    </row>
    <row r="21" spans="1:9" ht="15.6" x14ac:dyDescent="0.3">
      <c r="A21" s="15"/>
      <c r="B21" s="15"/>
      <c r="C21" s="15"/>
      <c r="D21" s="15"/>
      <c r="E21" s="39"/>
    </row>
    <row r="22" spans="1:9" s="17" customFormat="1" x14ac:dyDescent="0.25">
      <c r="A22" s="386" t="s">
        <v>91</v>
      </c>
      <c r="B22" s="386"/>
      <c r="C22" s="386"/>
      <c r="D22" s="386"/>
      <c r="E22" s="386"/>
      <c r="F22" s="386"/>
      <c r="G22" s="386"/>
      <c r="H22" s="386"/>
      <c r="I22" s="386"/>
    </row>
    <row r="23" spans="1:9" s="17" customFormat="1" ht="15.6" x14ac:dyDescent="0.3">
      <c r="A23" s="376">
        <v>44284</v>
      </c>
      <c r="B23" s="377"/>
      <c r="C23" s="378"/>
    </row>
    <row r="24" spans="1:9" ht="15.6" x14ac:dyDescent="0.3">
      <c r="A24" s="15"/>
      <c r="B24" s="15"/>
      <c r="C24" s="15"/>
      <c r="D24" s="15"/>
      <c r="E24" s="15"/>
    </row>
    <row r="25" spans="1:9" ht="15.6" x14ac:dyDescent="0.3">
      <c r="A25" s="15"/>
      <c r="B25" s="15"/>
      <c r="C25" s="15"/>
      <c r="D25" s="15"/>
      <c r="E25" s="15"/>
    </row>
    <row r="26" spans="1:9" ht="15.6" x14ac:dyDescent="0.3">
      <c r="A26" s="15"/>
      <c r="B26" s="15"/>
      <c r="C26" s="15"/>
      <c r="D26" s="15"/>
      <c r="E26" s="15"/>
    </row>
    <row r="31" spans="1:9" ht="15.6" x14ac:dyDescent="0.3">
      <c r="E31" s="40"/>
    </row>
    <row r="33" spans="1:5" x14ac:dyDescent="0.25">
      <c r="A33" s="41"/>
      <c r="B33" s="41"/>
      <c r="C33" s="15"/>
      <c r="D33" s="26"/>
      <c r="E33" s="15"/>
    </row>
  </sheetData>
  <mergeCells count="6">
    <mergeCell ref="A23:C23"/>
    <mergeCell ref="E3:F3"/>
    <mergeCell ref="E2:F2"/>
    <mergeCell ref="I3:I5"/>
    <mergeCell ref="A1:I1"/>
    <mergeCell ref="A22:I2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60" zoomScaleNormal="100" workbookViewId="0">
      <selection activeCell="K14" sqref="K14"/>
    </sheetView>
  </sheetViews>
  <sheetFormatPr defaultColWidth="22.28515625" defaultRowHeight="15" x14ac:dyDescent="0.25"/>
  <cols>
    <col min="1" max="1" width="7.5703125" customWidth="1"/>
    <col min="2" max="2" width="8.42578125" customWidth="1"/>
    <col min="3" max="3" width="15.140625" customWidth="1"/>
    <col min="5" max="5" width="17.85546875" customWidth="1"/>
    <col min="7" max="7" width="20.140625" customWidth="1"/>
    <col min="8" max="8" width="20.7109375" customWidth="1"/>
    <col min="9" max="9" width="19.28515625" customWidth="1"/>
  </cols>
  <sheetData>
    <row r="1" spans="1:9" ht="19.149999999999999" customHeight="1" x14ac:dyDescent="0.25">
      <c r="A1" s="379" t="s">
        <v>97</v>
      </c>
      <c r="B1" s="380"/>
      <c r="C1" s="380"/>
      <c r="D1" s="380"/>
      <c r="E1" s="380"/>
      <c r="F1" s="380"/>
      <c r="G1" s="380"/>
      <c r="H1" s="380"/>
      <c r="I1" s="380"/>
    </row>
    <row r="2" spans="1:9" ht="36" customHeight="1" x14ac:dyDescent="0.25">
      <c r="A2" s="438" t="s">
        <v>1</v>
      </c>
      <c r="B2" s="438" t="s">
        <v>117</v>
      </c>
      <c r="C2" s="438" t="s">
        <v>2</v>
      </c>
      <c r="D2" s="438" t="s">
        <v>3</v>
      </c>
      <c r="E2" s="438" t="s">
        <v>101</v>
      </c>
      <c r="F2" s="438"/>
      <c r="G2" s="431" t="s">
        <v>80</v>
      </c>
      <c r="H2" s="431" t="s">
        <v>72</v>
      </c>
      <c r="I2" s="432" t="s">
        <v>58</v>
      </c>
    </row>
    <row r="3" spans="1:9" ht="19.149999999999999" customHeight="1" x14ac:dyDescent="0.25">
      <c r="A3" s="438"/>
      <c r="B3" s="438"/>
      <c r="C3" s="438"/>
      <c r="D3" s="438"/>
      <c r="E3" s="208" t="s">
        <v>99</v>
      </c>
      <c r="F3" s="207" t="s">
        <v>100</v>
      </c>
      <c r="G3" s="431"/>
      <c r="H3" s="431"/>
      <c r="I3" s="439"/>
    </row>
    <row r="4" spans="1:9" ht="49.15" customHeight="1" x14ac:dyDescent="0.25">
      <c r="A4" s="438"/>
      <c r="B4" s="438"/>
      <c r="C4" s="438"/>
      <c r="D4" s="438"/>
      <c r="E4" s="208" t="s">
        <v>102</v>
      </c>
      <c r="F4" s="207" t="s">
        <v>103</v>
      </c>
      <c r="G4" s="207" t="s">
        <v>104</v>
      </c>
      <c r="H4" s="304" t="s">
        <v>106</v>
      </c>
      <c r="I4" s="439"/>
    </row>
    <row r="5" spans="1:9" ht="30" customHeight="1" x14ac:dyDescent="0.25">
      <c r="A5" s="193" t="s">
        <v>9</v>
      </c>
      <c r="B5" s="193" t="s">
        <v>10</v>
      </c>
      <c r="C5" s="193" t="s">
        <v>11</v>
      </c>
      <c r="D5" s="197" t="s">
        <v>12</v>
      </c>
      <c r="E5" s="181">
        <v>0</v>
      </c>
      <c r="F5" s="181">
        <v>0</v>
      </c>
      <c r="G5" s="152" t="s">
        <v>105</v>
      </c>
      <c r="H5" s="152">
        <v>1</v>
      </c>
      <c r="I5" s="198">
        <f>H5*5</f>
        <v>5</v>
      </c>
    </row>
    <row r="6" spans="1:9" ht="25.5" x14ac:dyDescent="0.25">
      <c r="A6" s="193" t="s">
        <v>16</v>
      </c>
      <c r="B6" s="193" t="s">
        <v>13</v>
      </c>
      <c r="C6" s="193" t="s">
        <v>14</v>
      </c>
      <c r="D6" s="197" t="s">
        <v>15</v>
      </c>
      <c r="E6" s="181">
        <v>90878700</v>
      </c>
      <c r="F6" s="181">
        <v>90685783.870000005</v>
      </c>
      <c r="G6" s="152">
        <f t="shared" ref="G6:G16" si="0">(F6/E6)*100</f>
        <v>99.787721292227999</v>
      </c>
      <c r="H6" s="152">
        <v>1</v>
      </c>
      <c r="I6" s="198">
        <f>H6*5</f>
        <v>5</v>
      </c>
    </row>
    <row r="7" spans="1:9" ht="25.5" x14ac:dyDescent="0.25">
      <c r="A7" s="193" t="s">
        <v>17</v>
      </c>
      <c r="B7" s="193" t="s">
        <v>23</v>
      </c>
      <c r="C7" s="193" t="s">
        <v>24</v>
      </c>
      <c r="D7" s="197" t="s">
        <v>25</v>
      </c>
      <c r="E7" s="181">
        <v>0</v>
      </c>
      <c r="F7" s="181">
        <v>0</v>
      </c>
      <c r="G7" s="152" t="s">
        <v>105</v>
      </c>
      <c r="H7" s="152">
        <v>1</v>
      </c>
      <c r="I7" s="198">
        <f t="shared" ref="I7:I16" si="1">H7*5</f>
        <v>5</v>
      </c>
    </row>
    <row r="8" spans="1:9" ht="29.45" customHeight="1" x14ac:dyDescent="0.25">
      <c r="A8" s="193" t="s">
        <v>18</v>
      </c>
      <c r="B8" s="193" t="s">
        <v>26</v>
      </c>
      <c r="C8" s="193" t="s">
        <v>27</v>
      </c>
      <c r="D8" s="197" t="s">
        <v>28</v>
      </c>
      <c r="E8" s="181">
        <v>0</v>
      </c>
      <c r="F8" s="181">
        <v>0</v>
      </c>
      <c r="G8" s="152" t="s">
        <v>105</v>
      </c>
      <c r="H8" s="152">
        <v>1</v>
      </c>
      <c r="I8" s="198">
        <f t="shared" si="1"/>
        <v>5</v>
      </c>
    </row>
    <row r="9" spans="1:9" ht="41.45" customHeight="1" x14ac:dyDescent="0.25">
      <c r="A9" s="193" t="s">
        <v>19</v>
      </c>
      <c r="B9" s="193" t="s">
        <v>29</v>
      </c>
      <c r="C9" s="193" t="s">
        <v>30</v>
      </c>
      <c r="D9" s="197" t="s">
        <v>31</v>
      </c>
      <c r="E9" s="181">
        <v>0</v>
      </c>
      <c r="F9" s="181">
        <v>0</v>
      </c>
      <c r="G9" s="152" t="s">
        <v>105</v>
      </c>
      <c r="H9" s="152">
        <v>1</v>
      </c>
      <c r="I9" s="198">
        <f t="shared" si="1"/>
        <v>5</v>
      </c>
    </row>
    <row r="10" spans="1:9" ht="44.45" customHeight="1" x14ac:dyDescent="0.25">
      <c r="A10" s="193" t="s">
        <v>20</v>
      </c>
      <c r="B10" s="193" t="s">
        <v>32</v>
      </c>
      <c r="C10" s="193" t="s">
        <v>33</v>
      </c>
      <c r="D10" s="197" t="s">
        <v>34</v>
      </c>
      <c r="E10" s="181">
        <v>0</v>
      </c>
      <c r="F10" s="181">
        <v>0</v>
      </c>
      <c r="G10" s="152" t="s">
        <v>105</v>
      </c>
      <c r="H10" s="152">
        <v>1</v>
      </c>
      <c r="I10" s="198">
        <f t="shared" si="1"/>
        <v>5</v>
      </c>
    </row>
    <row r="11" spans="1:9" ht="15.75" x14ac:dyDescent="0.25">
      <c r="A11" s="193" t="s">
        <v>21</v>
      </c>
      <c r="B11" s="193" t="s">
        <v>35</v>
      </c>
      <c r="C11" s="193" t="s">
        <v>36</v>
      </c>
      <c r="D11" s="197" t="s">
        <v>37</v>
      </c>
      <c r="E11" s="181">
        <v>113899300</v>
      </c>
      <c r="F11" s="181">
        <v>101889550.66</v>
      </c>
      <c r="G11" s="152">
        <f t="shared" si="0"/>
        <v>89.455818130576745</v>
      </c>
      <c r="H11" s="152">
        <v>0</v>
      </c>
      <c r="I11" s="198">
        <f t="shared" si="1"/>
        <v>0</v>
      </c>
    </row>
    <row r="12" spans="1:9" ht="27" customHeight="1" x14ac:dyDescent="0.25">
      <c r="A12" s="193" t="s">
        <v>22</v>
      </c>
      <c r="B12" s="193" t="s">
        <v>41</v>
      </c>
      <c r="C12" s="193" t="s">
        <v>39</v>
      </c>
      <c r="D12" s="197" t="s">
        <v>40</v>
      </c>
      <c r="E12" s="181">
        <v>1043741800</v>
      </c>
      <c r="F12" s="181">
        <v>1038412316.34</v>
      </c>
      <c r="G12" s="152">
        <f t="shared" si="0"/>
        <v>99.489386775541618</v>
      </c>
      <c r="H12" s="152">
        <v>1</v>
      </c>
      <c r="I12" s="198">
        <f>H12*5</f>
        <v>5</v>
      </c>
    </row>
    <row r="13" spans="1:9" ht="25.5" x14ac:dyDescent="0.25">
      <c r="A13" s="199">
        <v>9</v>
      </c>
      <c r="B13" s="193" t="s">
        <v>42</v>
      </c>
      <c r="C13" s="193" t="s">
        <v>43</v>
      </c>
      <c r="D13" s="197" t="s">
        <v>44</v>
      </c>
      <c r="E13" s="181">
        <v>678400</v>
      </c>
      <c r="F13" s="181">
        <v>678400</v>
      </c>
      <c r="G13" s="152">
        <f t="shared" si="0"/>
        <v>100</v>
      </c>
      <c r="H13" s="152">
        <v>1</v>
      </c>
      <c r="I13" s="198">
        <f t="shared" si="1"/>
        <v>5</v>
      </c>
    </row>
    <row r="14" spans="1:9" ht="38.25" x14ac:dyDescent="0.25">
      <c r="A14" s="199">
        <v>10</v>
      </c>
      <c r="B14" s="193" t="s">
        <v>45</v>
      </c>
      <c r="C14" s="193" t="s">
        <v>46</v>
      </c>
      <c r="D14" s="197" t="s">
        <v>47</v>
      </c>
      <c r="E14" s="181">
        <v>4037600</v>
      </c>
      <c r="F14" s="181">
        <v>2637650.3199999998</v>
      </c>
      <c r="G14" s="152">
        <f t="shared" si="0"/>
        <v>65.327182484644339</v>
      </c>
      <c r="H14" s="152">
        <v>0</v>
      </c>
      <c r="I14" s="198">
        <f t="shared" si="1"/>
        <v>0</v>
      </c>
    </row>
    <row r="15" spans="1:9" ht="27" customHeight="1" x14ac:dyDescent="0.25">
      <c r="A15" s="199">
        <v>11</v>
      </c>
      <c r="B15" s="193" t="s">
        <v>48</v>
      </c>
      <c r="C15" s="193" t="s">
        <v>49</v>
      </c>
      <c r="D15" s="197" t="s">
        <v>50</v>
      </c>
      <c r="E15" s="181">
        <v>0</v>
      </c>
      <c r="F15" s="181">
        <v>0</v>
      </c>
      <c r="G15" s="152" t="s">
        <v>105</v>
      </c>
      <c r="H15" s="152">
        <v>1</v>
      </c>
      <c r="I15" s="198">
        <f t="shared" si="1"/>
        <v>5</v>
      </c>
    </row>
    <row r="16" spans="1:9" ht="29.45" customHeight="1" x14ac:dyDescent="0.25">
      <c r="A16" s="193" t="s">
        <v>38</v>
      </c>
      <c r="B16" s="193" t="s">
        <v>51</v>
      </c>
      <c r="C16" s="193" t="s">
        <v>52</v>
      </c>
      <c r="D16" s="197" t="s">
        <v>53</v>
      </c>
      <c r="E16" s="181">
        <v>102411400</v>
      </c>
      <c r="F16" s="181">
        <v>101765917.04000001</v>
      </c>
      <c r="G16" s="152">
        <f t="shared" si="0"/>
        <v>99.369715715242648</v>
      </c>
      <c r="H16" s="152">
        <v>1</v>
      </c>
      <c r="I16" s="198">
        <f t="shared" si="1"/>
        <v>5</v>
      </c>
    </row>
    <row r="17" spans="1:12" ht="15.75" x14ac:dyDescent="0.25">
      <c r="A17" s="440" t="s">
        <v>59</v>
      </c>
      <c r="B17" s="388"/>
      <c r="C17" s="388"/>
      <c r="D17" s="389"/>
      <c r="E17" s="324">
        <f>E5+E6+E7+E8+E9+E10+E11+E12+E13+E14+E15+E16</f>
        <v>1355647200</v>
      </c>
      <c r="F17" s="324">
        <f t="shared" ref="F17:I17" si="2">F5+F6+F7+F8+F9+F10+F11+F12+F13+F14+F15+F16</f>
        <v>1336069618.23</v>
      </c>
      <c r="G17" s="324"/>
      <c r="H17" s="331">
        <f t="shared" si="2"/>
        <v>10</v>
      </c>
      <c r="I17" s="331">
        <f t="shared" si="2"/>
        <v>50</v>
      </c>
    </row>
    <row r="18" spans="1:12" ht="15.75" x14ac:dyDescent="0.25">
      <c r="A18" s="390" t="s">
        <v>204</v>
      </c>
      <c r="B18" s="391"/>
      <c r="C18" s="391"/>
      <c r="D18" s="392"/>
      <c r="E18" s="308"/>
      <c r="F18" s="309"/>
      <c r="G18" s="321"/>
      <c r="H18" s="321">
        <f t="shared" ref="H18:I18" si="3">H17/12</f>
        <v>0.83333333333333337</v>
      </c>
      <c r="I18" s="321">
        <f t="shared" si="3"/>
        <v>4.166666666666667</v>
      </c>
    </row>
    <row r="19" spans="1:12" ht="44.45" customHeight="1" x14ac:dyDescent="0.25">
      <c r="A19" s="437" t="s">
        <v>107</v>
      </c>
      <c r="B19" s="437"/>
      <c r="C19" s="437"/>
      <c r="D19" s="437"/>
      <c r="E19" s="437"/>
      <c r="F19" s="437"/>
      <c r="G19" s="437"/>
      <c r="H19" s="437"/>
      <c r="I19" s="437"/>
      <c r="J19" s="195"/>
      <c r="K19" s="195"/>
      <c r="L19" s="195"/>
    </row>
    <row r="20" spans="1:12" ht="15.6" x14ac:dyDescent="0.3">
      <c r="A20" s="15"/>
      <c r="B20" s="15"/>
      <c r="C20" s="15"/>
      <c r="D20" s="15"/>
      <c r="E20" s="39"/>
      <c r="F20" s="17"/>
      <c r="G20" s="17"/>
      <c r="H20" s="17"/>
      <c r="I20" s="17"/>
    </row>
    <row r="21" spans="1:12" ht="15.75" x14ac:dyDescent="0.25">
      <c r="A21" s="386" t="s">
        <v>118</v>
      </c>
      <c r="B21" s="386"/>
      <c r="C21" s="386"/>
      <c r="D21" s="386"/>
      <c r="E21" s="386"/>
      <c r="F21" s="386"/>
      <c r="G21" s="386"/>
      <c r="H21" s="386"/>
      <c r="I21" s="386"/>
    </row>
  </sheetData>
  <mergeCells count="13">
    <mergeCell ref="A19:I19"/>
    <mergeCell ref="A1:I1"/>
    <mergeCell ref="E2:F2"/>
    <mergeCell ref="I2:I4"/>
    <mergeCell ref="A21:I21"/>
    <mergeCell ref="A2:A4"/>
    <mergeCell ref="B2:B4"/>
    <mergeCell ref="C2:C4"/>
    <mergeCell ref="D2:D4"/>
    <mergeCell ref="G2:G3"/>
    <mergeCell ref="H2:H3"/>
    <mergeCell ref="A17:D17"/>
    <mergeCell ref="A18:D18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33"/>
  <sheetViews>
    <sheetView view="pageBreakPreview" zoomScale="60" zoomScaleNormal="100" workbookViewId="0">
      <selection activeCell="L12" sqref="L12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2.42578125" style="17" customWidth="1"/>
    <col min="5" max="5" width="14.7109375" style="17" customWidth="1"/>
    <col min="6" max="6" width="19.140625" style="17" customWidth="1"/>
    <col min="7" max="7" width="11.85546875" style="17" customWidth="1"/>
    <col min="8" max="8" width="16.42578125" style="17" customWidth="1"/>
    <col min="9" max="9" width="18.5703125" style="17" customWidth="1"/>
    <col min="10" max="10" width="16" style="17" customWidth="1"/>
    <col min="11" max="11" width="14.140625" style="17" customWidth="1"/>
    <col min="12" max="12" width="12.5703125" style="17" customWidth="1"/>
    <col min="13" max="16384" width="9.140625" style="17"/>
  </cols>
  <sheetData>
    <row r="1" spans="1:176" ht="18.75" customHeight="1" thickBot="1" x14ac:dyDescent="0.3">
      <c r="A1" s="441" t="s">
        <v>131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76" ht="16.5" thickBot="1" x14ac:dyDescent="0.3">
      <c r="D2" s="219" t="s">
        <v>76</v>
      </c>
      <c r="E2" s="128" t="s">
        <v>87</v>
      </c>
      <c r="F2" s="129"/>
      <c r="G2" s="130"/>
      <c r="H2" s="442" t="s">
        <v>0</v>
      </c>
      <c r="I2" s="442"/>
    </row>
    <row r="3" spans="1:176" ht="31.5" customHeight="1" thickBot="1" x14ac:dyDescent="0.3">
      <c r="A3" s="71" t="s">
        <v>1</v>
      </c>
      <c r="B3" s="51"/>
      <c r="C3" s="52" t="s">
        <v>2</v>
      </c>
      <c r="D3" s="112" t="s">
        <v>3</v>
      </c>
      <c r="E3" s="443"/>
      <c r="F3" s="444"/>
      <c r="G3" s="117"/>
      <c r="H3" s="445"/>
      <c r="I3" s="423"/>
      <c r="J3" s="107"/>
      <c r="K3" s="424" t="s">
        <v>138</v>
      </c>
      <c r="L3" s="424" t="s">
        <v>58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</row>
    <row r="4" spans="1:176" ht="48" customHeight="1" thickBot="1" x14ac:dyDescent="0.3">
      <c r="A4" s="51"/>
      <c r="B4" s="72"/>
      <c r="C4" s="72"/>
      <c r="D4" s="113"/>
      <c r="E4" s="224" t="s">
        <v>132</v>
      </c>
      <c r="F4" s="223" t="s">
        <v>133</v>
      </c>
      <c r="G4" s="136" t="s">
        <v>80</v>
      </c>
      <c r="H4" s="123" t="s">
        <v>132</v>
      </c>
      <c r="I4" s="73" t="s">
        <v>133</v>
      </c>
      <c r="J4" s="108" t="s">
        <v>80</v>
      </c>
      <c r="K4" s="446"/>
      <c r="L4" s="425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</row>
    <row r="5" spans="1:176" ht="36.75" customHeight="1" thickBot="1" x14ac:dyDescent="0.3">
      <c r="A5" s="83"/>
      <c r="B5" s="53"/>
      <c r="C5" s="53"/>
      <c r="D5" s="70"/>
      <c r="E5" s="225" t="s">
        <v>134</v>
      </c>
      <c r="F5" s="226" t="s">
        <v>135</v>
      </c>
      <c r="G5" s="227" t="s">
        <v>136</v>
      </c>
      <c r="H5" s="124" t="s">
        <v>134</v>
      </c>
      <c r="I5" s="70" t="s">
        <v>135</v>
      </c>
      <c r="J5" s="109" t="s">
        <v>136</v>
      </c>
      <c r="K5" s="447"/>
      <c r="L5" s="425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</row>
    <row r="6" spans="1:176" ht="16.5" thickBot="1" x14ac:dyDescent="0.3">
      <c r="A6" s="84" t="s">
        <v>9</v>
      </c>
      <c r="B6" s="56" t="s">
        <v>10</v>
      </c>
      <c r="C6" s="57" t="s">
        <v>11</v>
      </c>
      <c r="D6" s="114" t="s">
        <v>12</v>
      </c>
      <c r="E6" s="118">
        <v>0</v>
      </c>
      <c r="F6" s="232">
        <v>6041270.3899999997</v>
      </c>
      <c r="G6" s="119">
        <f>E6/F6*100</f>
        <v>0</v>
      </c>
      <c r="H6" s="125">
        <v>0</v>
      </c>
      <c r="I6" s="6">
        <v>4865404.47</v>
      </c>
      <c r="J6" s="110">
        <f>H6/I6*100</f>
        <v>0</v>
      </c>
      <c r="K6" s="105">
        <f>IF(J6&gt;10,0,1-(J6/100))</f>
        <v>1</v>
      </c>
      <c r="L6" s="250">
        <v>5</v>
      </c>
    </row>
    <row r="7" spans="1:176" ht="18.75" customHeight="1" thickBot="1" x14ac:dyDescent="0.3">
      <c r="A7" s="58" t="s">
        <v>16</v>
      </c>
      <c r="B7" s="59" t="s">
        <v>13</v>
      </c>
      <c r="C7" s="60" t="s">
        <v>14</v>
      </c>
      <c r="D7" s="115" t="s">
        <v>15</v>
      </c>
      <c r="E7" s="230">
        <v>8938734.9900000002</v>
      </c>
      <c r="F7" s="231">
        <v>490026367.75</v>
      </c>
      <c r="G7" s="119">
        <f t="shared" ref="G7:G18" si="0">E7/F7*100</f>
        <v>1.8241334708258665</v>
      </c>
      <c r="H7" s="106">
        <v>9367649.7699999996</v>
      </c>
      <c r="I7" s="2">
        <v>637256093.25</v>
      </c>
      <c r="J7" s="110">
        <f t="shared" ref="J7:J18" si="1">H7/I7*100</f>
        <v>1.4699976774211878</v>
      </c>
      <c r="K7" s="106">
        <f>IF(J7&gt;10,0,1-(J7/100))</f>
        <v>0.98530002322578814</v>
      </c>
      <c r="L7" s="111">
        <f>K7*5</f>
        <v>4.926500116128941</v>
      </c>
    </row>
    <row r="8" spans="1:176" ht="16.5" thickBot="1" x14ac:dyDescent="0.3">
      <c r="A8" s="58" t="s">
        <v>17</v>
      </c>
      <c r="B8" s="59" t="s">
        <v>23</v>
      </c>
      <c r="C8" s="60" t="s">
        <v>24</v>
      </c>
      <c r="D8" s="115" t="s">
        <v>25</v>
      </c>
      <c r="E8" s="120">
        <v>0</v>
      </c>
      <c r="F8" s="231">
        <v>23655220.34</v>
      </c>
      <c r="G8" s="119">
        <f t="shared" si="0"/>
        <v>0</v>
      </c>
      <c r="H8" s="126">
        <v>0</v>
      </c>
      <c r="I8" s="2">
        <v>23678952.280000001</v>
      </c>
      <c r="J8" s="110">
        <f t="shared" si="1"/>
        <v>0</v>
      </c>
      <c r="K8" s="106">
        <f t="shared" ref="K8:K17" si="2">IF(J8&gt;10,0,1-(J8/100))</f>
        <v>1</v>
      </c>
      <c r="L8" s="111">
        <v>5</v>
      </c>
    </row>
    <row r="9" spans="1:176" ht="32.25" thickBot="1" x14ac:dyDescent="0.3">
      <c r="A9" s="58" t="s">
        <v>18</v>
      </c>
      <c r="B9" s="59" t="s">
        <v>26</v>
      </c>
      <c r="C9" s="60" t="s">
        <v>27</v>
      </c>
      <c r="D9" s="115" t="s">
        <v>28</v>
      </c>
      <c r="E9" s="120">
        <v>0</v>
      </c>
      <c r="F9" s="231">
        <v>2383403.2799999998</v>
      </c>
      <c r="G9" s="119">
        <f t="shared" si="0"/>
        <v>0</v>
      </c>
      <c r="H9" s="126">
        <v>0</v>
      </c>
      <c r="I9" s="2">
        <v>3343464.21</v>
      </c>
      <c r="J9" s="110">
        <f t="shared" si="1"/>
        <v>0</v>
      </c>
      <c r="K9" s="106">
        <f t="shared" si="2"/>
        <v>1</v>
      </c>
      <c r="L9" s="111">
        <v>5</v>
      </c>
    </row>
    <row r="10" spans="1:176" ht="32.25" thickBot="1" x14ac:dyDescent="0.3">
      <c r="A10" s="58" t="s">
        <v>19</v>
      </c>
      <c r="B10" s="59" t="s">
        <v>29</v>
      </c>
      <c r="C10" s="60" t="s">
        <v>30</v>
      </c>
      <c r="D10" s="115" t="s">
        <v>31</v>
      </c>
      <c r="E10" s="120">
        <v>0</v>
      </c>
      <c r="F10" s="231">
        <v>5980997.0899999999</v>
      </c>
      <c r="G10" s="119">
        <f t="shared" si="0"/>
        <v>0</v>
      </c>
      <c r="H10" s="126">
        <v>0</v>
      </c>
      <c r="I10" s="2">
        <v>6145814.5199999996</v>
      </c>
      <c r="J10" s="110">
        <f t="shared" si="1"/>
        <v>0</v>
      </c>
      <c r="K10" s="106">
        <f t="shared" si="2"/>
        <v>1</v>
      </c>
      <c r="L10" s="111">
        <v>5</v>
      </c>
    </row>
    <row r="11" spans="1:176" ht="19.5" customHeight="1" thickBot="1" x14ac:dyDescent="0.3">
      <c r="A11" s="58" t="s">
        <v>20</v>
      </c>
      <c r="B11" s="59" t="s">
        <v>32</v>
      </c>
      <c r="C11" s="60" t="s">
        <v>33</v>
      </c>
      <c r="D11" s="115" t="s">
        <v>34</v>
      </c>
      <c r="E11" s="120">
        <v>0</v>
      </c>
      <c r="F11" s="231">
        <v>4089818.96</v>
      </c>
      <c r="G11" s="119">
        <f t="shared" si="0"/>
        <v>0</v>
      </c>
      <c r="H11" s="126">
        <v>0</v>
      </c>
      <c r="I11" s="2">
        <v>4439706.37</v>
      </c>
      <c r="J11" s="110">
        <f t="shared" si="1"/>
        <v>0</v>
      </c>
      <c r="K11" s="106">
        <f t="shared" si="2"/>
        <v>1</v>
      </c>
      <c r="L11" s="111">
        <v>5</v>
      </c>
    </row>
    <row r="12" spans="1:176" ht="16.5" thickBot="1" x14ac:dyDescent="0.3">
      <c r="A12" s="58" t="s">
        <v>21</v>
      </c>
      <c r="B12" s="59" t="s">
        <v>35</v>
      </c>
      <c r="C12" s="60" t="s">
        <v>36</v>
      </c>
      <c r="D12" s="115" t="s">
        <v>37</v>
      </c>
      <c r="E12" s="120">
        <v>0</v>
      </c>
      <c r="F12" s="231">
        <v>52235078.82</v>
      </c>
      <c r="G12" s="119">
        <f t="shared" si="0"/>
        <v>0</v>
      </c>
      <c r="H12" s="106">
        <v>165649.12</v>
      </c>
      <c r="I12" s="2">
        <v>19486084.210000001</v>
      </c>
      <c r="J12" s="110">
        <f t="shared" si="1"/>
        <v>0.8500893161233033</v>
      </c>
      <c r="K12" s="106">
        <f t="shared" si="2"/>
        <v>0.99149910683876696</v>
      </c>
      <c r="L12" s="111">
        <v>4.95</v>
      </c>
    </row>
    <row r="13" spans="1:176" ht="16.5" thickBot="1" x14ac:dyDescent="0.3">
      <c r="A13" s="58" t="s">
        <v>22</v>
      </c>
      <c r="B13" s="59" t="s">
        <v>41</v>
      </c>
      <c r="C13" s="60" t="s">
        <v>39</v>
      </c>
      <c r="D13" s="115" t="s">
        <v>40</v>
      </c>
      <c r="E13" s="120">
        <v>0</v>
      </c>
      <c r="F13" s="231">
        <v>1534227872.51</v>
      </c>
      <c r="G13" s="119">
        <f t="shared" si="0"/>
        <v>0</v>
      </c>
      <c r="H13" s="126">
        <v>0</v>
      </c>
      <c r="I13" s="2">
        <v>1669469302.0799999</v>
      </c>
      <c r="J13" s="110">
        <f t="shared" si="1"/>
        <v>0</v>
      </c>
      <c r="K13" s="106">
        <f t="shared" si="2"/>
        <v>1</v>
      </c>
      <c r="L13" s="111">
        <v>5</v>
      </c>
    </row>
    <row r="14" spans="1:176" ht="16.5" thickBot="1" x14ac:dyDescent="0.3">
      <c r="A14" s="62">
        <v>9</v>
      </c>
      <c r="B14" s="59" t="s">
        <v>42</v>
      </c>
      <c r="C14" s="60" t="s">
        <v>43</v>
      </c>
      <c r="D14" s="115" t="s">
        <v>44</v>
      </c>
      <c r="E14" s="120">
        <v>4</v>
      </c>
      <c r="F14" s="231">
        <v>155419551.62</v>
      </c>
      <c r="G14" s="119">
        <f t="shared" si="0"/>
        <v>2.5736787671218992E-6</v>
      </c>
      <c r="H14" s="106">
        <v>18088.48</v>
      </c>
      <c r="I14" s="2">
        <v>116388103.81999999</v>
      </c>
      <c r="J14" s="110">
        <f t="shared" si="1"/>
        <v>1.5541519628135481E-2</v>
      </c>
      <c r="K14" s="106">
        <f t="shared" si="2"/>
        <v>0.99984458480371863</v>
      </c>
      <c r="L14" s="111">
        <v>5</v>
      </c>
    </row>
    <row r="15" spans="1:176" ht="16.5" thickBot="1" x14ac:dyDescent="0.3">
      <c r="A15" s="62">
        <v>10</v>
      </c>
      <c r="B15" s="59" t="s">
        <v>45</v>
      </c>
      <c r="C15" s="60" t="s">
        <v>46</v>
      </c>
      <c r="D15" s="115" t="s">
        <v>47</v>
      </c>
      <c r="E15" s="120">
        <v>0</v>
      </c>
      <c r="F15" s="231">
        <v>21854559.539999999</v>
      </c>
      <c r="G15" s="119">
        <f t="shared" si="0"/>
        <v>0</v>
      </c>
      <c r="H15" s="126">
        <v>0</v>
      </c>
      <c r="I15" s="2">
        <v>24929722.539999999</v>
      </c>
      <c r="J15" s="110">
        <f t="shared" si="1"/>
        <v>0</v>
      </c>
      <c r="K15" s="106">
        <f t="shared" si="2"/>
        <v>1</v>
      </c>
      <c r="L15" s="111">
        <v>5</v>
      </c>
    </row>
    <row r="16" spans="1:176" ht="16.5" thickBot="1" x14ac:dyDescent="0.3">
      <c r="A16" s="62">
        <v>11</v>
      </c>
      <c r="B16" s="59" t="s">
        <v>48</v>
      </c>
      <c r="C16" s="60" t="s">
        <v>49</v>
      </c>
      <c r="D16" s="115" t="s">
        <v>50</v>
      </c>
      <c r="E16" s="120">
        <v>0</v>
      </c>
      <c r="F16" s="231">
        <v>12245334.210000001</v>
      </c>
      <c r="G16" s="119">
        <f t="shared" si="0"/>
        <v>0</v>
      </c>
      <c r="H16" s="126">
        <v>0</v>
      </c>
      <c r="I16" s="2">
        <v>14636634.529999999</v>
      </c>
      <c r="J16" s="110">
        <f t="shared" si="1"/>
        <v>0</v>
      </c>
      <c r="K16" s="106">
        <f t="shared" si="2"/>
        <v>1</v>
      </c>
      <c r="L16" s="111">
        <v>5</v>
      </c>
    </row>
    <row r="17" spans="1:12" ht="35.25" customHeight="1" thickBot="1" x14ac:dyDescent="0.3">
      <c r="A17" s="58" t="s">
        <v>38</v>
      </c>
      <c r="B17" s="59" t="s">
        <v>51</v>
      </c>
      <c r="C17" s="60" t="s">
        <v>52</v>
      </c>
      <c r="D17" s="115" t="s">
        <v>53</v>
      </c>
      <c r="E17" s="120">
        <v>0</v>
      </c>
      <c r="F17" s="231">
        <v>95256848.549999997</v>
      </c>
      <c r="G17" s="119">
        <f t="shared" si="0"/>
        <v>0</v>
      </c>
      <c r="H17" s="126">
        <v>0</v>
      </c>
      <c r="I17" s="2">
        <v>102208539.23999999</v>
      </c>
      <c r="J17" s="110">
        <f t="shared" si="1"/>
        <v>0</v>
      </c>
      <c r="K17" s="106">
        <f t="shared" si="2"/>
        <v>1</v>
      </c>
      <c r="L17" s="111">
        <v>5</v>
      </c>
    </row>
    <row r="18" spans="1:12" s="66" customFormat="1" ht="16.5" thickBot="1" x14ac:dyDescent="0.3">
      <c r="A18" s="63" t="s">
        <v>38</v>
      </c>
      <c r="B18" s="64"/>
      <c r="C18" s="65"/>
      <c r="D18" s="116" t="s">
        <v>59</v>
      </c>
      <c r="E18" s="121">
        <f>E6+E7+E8+E9+E10+E11+E12+E13+E14+E15+E16+E17</f>
        <v>8938738.9900000002</v>
      </c>
      <c r="F18" s="122">
        <f>F6+F7+F8+F9+F10+F11+F12+F13+F14+F15+F16+F17</f>
        <v>2403416323.0599999</v>
      </c>
      <c r="G18" s="119">
        <f t="shared" si="0"/>
        <v>0.37191804450338878</v>
      </c>
      <c r="H18" s="127">
        <f>H6+H7+H8+H9+H10+H11+H12+H13+H14+H15+H16+H17</f>
        <v>9551387.3699999992</v>
      </c>
      <c r="I18" s="21">
        <f>I6+I7+I8+I9+I10+I11+I12+I13+I14+I15+I16+I17</f>
        <v>2626847821.52</v>
      </c>
      <c r="J18" s="110">
        <f t="shared" si="1"/>
        <v>0.36360642180151809</v>
      </c>
      <c r="K18" s="251">
        <v>1</v>
      </c>
      <c r="L18" s="252">
        <v>5</v>
      </c>
    </row>
    <row r="19" spans="1:12" ht="15.6" x14ac:dyDescent="0.3">
      <c r="E19" s="131"/>
      <c r="F19" s="132"/>
      <c r="G19" s="133"/>
      <c r="K19" s="82"/>
    </row>
    <row r="20" spans="1:12" ht="16.5" thickBot="1" x14ac:dyDescent="0.3">
      <c r="D20" s="17" t="s">
        <v>56</v>
      </c>
      <c r="E20" s="134"/>
      <c r="F20" s="135"/>
      <c r="G20" s="137">
        <f>G18/A18</f>
        <v>3.0993170375282399E-2</v>
      </c>
      <c r="J20" s="138">
        <f>J18/A18</f>
        <v>3.0300535150126508E-2</v>
      </c>
    </row>
    <row r="21" spans="1:12" ht="15.6" x14ac:dyDescent="0.3">
      <c r="H21" s="67"/>
    </row>
    <row r="23" spans="1:12" x14ac:dyDescent="0.25">
      <c r="A23" s="386" t="s">
        <v>137</v>
      </c>
      <c r="B23" s="386"/>
      <c r="C23" s="386"/>
      <c r="D23" s="386"/>
      <c r="E23" s="386"/>
      <c r="F23" s="386"/>
      <c r="G23" s="386"/>
      <c r="H23" s="386"/>
      <c r="I23" s="386"/>
    </row>
    <row r="24" spans="1:12" ht="15.6" x14ac:dyDescent="0.3">
      <c r="A24" s="427">
        <v>44287</v>
      </c>
      <c r="B24" s="386"/>
      <c r="C24" s="428"/>
    </row>
    <row r="31" spans="1:12" ht="15.6" x14ac:dyDescent="0.3">
      <c r="H31" s="68"/>
    </row>
    <row r="33" spans="1:7" ht="15.6" x14ac:dyDescent="0.3">
      <c r="A33" s="69"/>
      <c r="B33" s="69"/>
      <c r="D33" s="50"/>
      <c r="E33" s="50"/>
      <c r="F33" s="50"/>
      <c r="G33" s="50"/>
    </row>
  </sheetData>
  <mergeCells count="8">
    <mergeCell ref="A23:I23"/>
    <mergeCell ref="A24:C24"/>
    <mergeCell ref="A1:L1"/>
    <mergeCell ref="H2:I2"/>
    <mergeCell ref="E3:F3"/>
    <mergeCell ref="H3:I3"/>
    <mergeCell ref="K3:K5"/>
    <mergeCell ref="L3:L5"/>
  </mergeCells>
  <pageMargins left="0.7" right="0.7" top="0.75" bottom="0.75" header="0.3" footer="0.3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view="pageBreakPreview" zoomScale="60" zoomScaleNormal="100" workbookViewId="0">
      <selection activeCell="E27" sqref="E27"/>
    </sheetView>
  </sheetViews>
  <sheetFormatPr defaultRowHeight="15" x14ac:dyDescent="0.25"/>
  <cols>
    <col min="1" max="1" width="5.140625" customWidth="1"/>
    <col min="2" max="2" width="6.28515625" customWidth="1"/>
    <col min="3" max="3" width="13.28515625" customWidth="1"/>
    <col min="4" max="4" width="30.7109375" customWidth="1"/>
    <col min="5" max="5" width="26.7109375" customWidth="1"/>
    <col min="6" max="6" width="24.42578125" customWidth="1"/>
    <col min="7" max="7" width="14" customWidth="1"/>
  </cols>
  <sheetData>
    <row r="2" spans="1:7" x14ac:dyDescent="0.25">
      <c r="A2" s="379" t="s">
        <v>139</v>
      </c>
      <c r="B2" s="380"/>
      <c r="C2" s="380"/>
      <c r="D2" s="380"/>
      <c r="E2" s="380"/>
      <c r="F2" s="380"/>
      <c r="G2" s="380"/>
    </row>
    <row r="3" spans="1:7" ht="16.149999999999999" thickBot="1" x14ac:dyDescent="0.35">
      <c r="A3" s="24"/>
      <c r="B3" s="24"/>
      <c r="C3" s="24"/>
      <c r="D3" s="219"/>
      <c r="E3" s="220"/>
      <c r="F3" s="17"/>
      <c r="G3" s="17"/>
    </row>
    <row r="4" spans="1:7" ht="63.75" customHeight="1" thickBot="1" x14ac:dyDescent="0.3">
      <c r="A4" s="167" t="s">
        <v>1</v>
      </c>
      <c r="B4" s="221" t="s">
        <v>117</v>
      </c>
      <c r="C4" s="221" t="s">
        <v>2</v>
      </c>
      <c r="D4" s="221" t="s">
        <v>3</v>
      </c>
      <c r="E4" s="221" t="s">
        <v>140</v>
      </c>
      <c r="F4" s="173" t="s">
        <v>73</v>
      </c>
      <c r="G4" s="383" t="s">
        <v>142</v>
      </c>
    </row>
    <row r="5" spans="1:7" ht="34.15" customHeight="1" thickBot="1" x14ac:dyDescent="0.3">
      <c r="A5" s="174"/>
      <c r="B5" s="175"/>
      <c r="C5" s="175"/>
      <c r="D5" s="175"/>
      <c r="E5" s="229"/>
      <c r="F5" s="178" t="s">
        <v>141</v>
      </c>
      <c r="G5" s="385"/>
    </row>
    <row r="6" spans="1:7" ht="30" customHeight="1" thickBot="1" x14ac:dyDescent="0.3">
      <c r="A6" s="190" t="s">
        <v>9</v>
      </c>
      <c r="B6" s="191" t="s">
        <v>10</v>
      </c>
      <c r="C6" s="191" t="s">
        <v>11</v>
      </c>
      <c r="D6" s="196" t="s">
        <v>12</v>
      </c>
      <c r="E6" s="228">
        <v>0</v>
      </c>
      <c r="F6" s="152">
        <v>1</v>
      </c>
      <c r="G6" s="7">
        <v>10</v>
      </c>
    </row>
    <row r="7" spans="1:7" ht="26.25" thickBot="1" x14ac:dyDescent="0.3">
      <c r="A7" s="192" t="s">
        <v>16</v>
      </c>
      <c r="B7" s="193" t="s">
        <v>13</v>
      </c>
      <c r="C7" s="193" t="s">
        <v>14</v>
      </c>
      <c r="D7" s="197" t="s">
        <v>15</v>
      </c>
      <c r="E7" s="181">
        <v>0</v>
      </c>
      <c r="F7" s="152">
        <v>1</v>
      </c>
      <c r="G7" s="7">
        <v>10</v>
      </c>
    </row>
    <row r="8" spans="1:7" ht="26.25" thickBot="1" x14ac:dyDescent="0.3">
      <c r="A8" s="192" t="s">
        <v>17</v>
      </c>
      <c r="B8" s="193" t="s">
        <v>23</v>
      </c>
      <c r="C8" s="193" t="s">
        <v>24</v>
      </c>
      <c r="D8" s="197" t="s">
        <v>25</v>
      </c>
      <c r="E8" s="181">
        <v>0</v>
      </c>
      <c r="F8" s="152">
        <v>1</v>
      </c>
      <c r="G8" s="7">
        <v>10</v>
      </c>
    </row>
    <row r="9" spans="1:7" ht="29.45" customHeight="1" thickBot="1" x14ac:dyDescent="0.3">
      <c r="A9" s="192" t="s">
        <v>18</v>
      </c>
      <c r="B9" s="193" t="s">
        <v>26</v>
      </c>
      <c r="C9" s="193" t="s">
        <v>27</v>
      </c>
      <c r="D9" s="197" t="s">
        <v>28</v>
      </c>
      <c r="E9" s="181">
        <v>0</v>
      </c>
      <c r="F9" s="152">
        <v>1</v>
      </c>
      <c r="G9" s="7">
        <v>10</v>
      </c>
    </row>
    <row r="10" spans="1:7" ht="41.45" customHeight="1" thickBot="1" x14ac:dyDescent="0.3">
      <c r="A10" s="192" t="s">
        <v>19</v>
      </c>
      <c r="B10" s="193" t="s">
        <v>29</v>
      </c>
      <c r="C10" s="193" t="s">
        <v>30</v>
      </c>
      <c r="D10" s="197" t="s">
        <v>31</v>
      </c>
      <c r="E10" s="181">
        <v>0</v>
      </c>
      <c r="F10" s="152">
        <v>1</v>
      </c>
      <c r="G10" s="7">
        <v>10</v>
      </c>
    </row>
    <row r="11" spans="1:7" ht="32.450000000000003" customHeight="1" thickBot="1" x14ac:dyDescent="0.3">
      <c r="A11" s="192" t="s">
        <v>20</v>
      </c>
      <c r="B11" s="193" t="s">
        <v>32</v>
      </c>
      <c r="C11" s="193" t="s">
        <v>33</v>
      </c>
      <c r="D11" s="197" t="s">
        <v>34</v>
      </c>
      <c r="E11" s="181">
        <v>0</v>
      </c>
      <c r="F11" s="152">
        <v>1</v>
      </c>
      <c r="G11" s="7">
        <v>10</v>
      </c>
    </row>
    <row r="12" spans="1:7" ht="16.5" thickBot="1" x14ac:dyDescent="0.3">
      <c r="A12" s="192" t="s">
        <v>21</v>
      </c>
      <c r="B12" s="193" t="s">
        <v>35</v>
      </c>
      <c r="C12" s="193" t="s">
        <v>36</v>
      </c>
      <c r="D12" s="197" t="s">
        <v>37</v>
      </c>
      <c r="E12" s="181">
        <v>0</v>
      </c>
      <c r="F12" s="152">
        <v>1</v>
      </c>
      <c r="G12" s="7">
        <v>10</v>
      </c>
    </row>
    <row r="13" spans="1:7" ht="19.899999999999999" customHeight="1" thickBot="1" x14ac:dyDescent="0.3">
      <c r="A13" s="192" t="s">
        <v>22</v>
      </c>
      <c r="B13" s="193" t="s">
        <v>41</v>
      </c>
      <c r="C13" s="193" t="s">
        <v>39</v>
      </c>
      <c r="D13" s="197" t="s">
        <v>40</v>
      </c>
      <c r="E13" s="181">
        <v>0</v>
      </c>
      <c r="F13" s="152">
        <v>1</v>
      </c>
      <c r="G13" s="7">
        <v>10</v>
      </c>
    </row>
    <row r="14" spans="1:7" ht="16.5" thickBot="1" x14ac:dyDescent="0.3">
      <c r="A14" s="194">
        <v>9</v>
      </c>
      <c r="B14" s="193" t="s">
        <v>42</v>
      </c>
      <c r="C14" s="193" t="s">
        <v>43</v>
      </c>
      <c r="D14" s="197" t="s">
        <v>44</v>
      </c>
      <c r="E14" s="181">
        <v>0</v>
      </c>
      <c r="F14" s="152">
        <v>1</v>
      </c>
      <c r="G14" s="7">
        <v>10</v>
      </c>
    </row>
    <row r="15" spans="1:7" ht="26.25" thickBot="1" x14ac:dyDescent="0.3">
      <c r="A15" s="194">
        <v>10</v>
      </c>
      <c r="B15" s="193" t="s">
        <v>45</v>
      </c>
      <c r="C15" s="193" t="s">
        <v>46</v>
      </c>
      <c r="D15" s="197" t="s">
        <v>47</v>
      </c>
      <c r="E15" s="181">
        <v>0</v>
      </c>
      <c r="F15" s="152">
        <v>1</v>
      </c>
      <c r="G15" s="7">
        <v>10</v>
      </c>
    </row>
    <row r="16" spans="1:7" ht="19.149999999999999" customHeight="1" thickBot="1" x14ac:dyDescent="0.3">
      <c r="A16" s="194">
        <v>11</v>
      </c>
      <c r="B16" s="193" t="s">
        <v>48</v>
      </c>
      <c r="C16" s="193" t="s">
        <v>49</v>
      </c>
      <c r="D16" s="197" t="s">
        <v>50</v>
      </c>
      <c r="E16" s="181">
        <v>0</v>
      </c>
      <c r="F16" s="152">
        <v>1</v>
      </c>
      <c r="G16" s="7">
        <v>10</v>
      </c>
    </row>
    <row r="17" spans="1:10" ht="29.45" customHeight="1" x14ac:dyDescent="0.25">
      <c r="A17" s="192" t="s">
        <v>38</v>
      </c>
      <c r="B17" s="193" t="s">
        <v>51</v>
      </c>
      <c r="C17" s="193" t="s">
        <v>52</v>
      </c>
      <c r="D17" s="197" t="s">
        <v>53</v>
      </c>
      <c r="E17" s="181">
        <v>0</v>
      </c>
      <c r="F17" s="152">
        <v>1</v>
      </c>
      <c r="G17" s="7">
        <v>10</v>
      </c>
    </row>
    <row r="18" spans="1:10" ht="16.5" thickBot="1" x14ac:dyDescent="0.3">
      <c r="A18" s="35" t="s">
        <v>38</v>
      </c>
      <c r="B18" s="36"/>
      <c r="C18" s="36"/>
      <c r="D18" s="37" t="s">
        <v>59</v>
      </c>
      <c r="E18" s="185">
        <f>E6+E7+E8+E9+E10+E11+E12+E13+E14+E15+E16+E17</f>
        <v>0</v>
      </c>
      <c r="F18" s="188">
        <f t="shared" ref="F18" si="0">SUM(F6:F17)</f>
        <v>12</v>
      </c>
      <c r="G18" s="189">
        <f>SUM(G6:G17)/12</f>
        <v>10</v>
      </c>
    </row>
    <row r="19" spans="1:10" ht="12" customHeight="1" x14ac:dyDescent="0.3">
      <c r="A19" s="437"/>
      <c r="B19" s="437"/>
      <c r="C19" s="437"/>
      <c r="D19" s="437"/>
      <c r="E19" s="437"/>
      <c r="F19" s="437"/>
      <c r="G19" s="437"/>
      <c r="H19" s="195"/>
      <c r="I19" s="195"/>
      <c r="J19" s="195"/>
    </row>
    <row r="20" spans="1:10" ht="4.9000000000000004" customHeight="1" x14ac:dyDescent="0.3">
      <c r="A20" s="15"/>
      <c r="B20" s="15"/>
      <c r="C20" s="15"/>
      <c r="D20" s="15"/>
      <c r="E20" s="39"/>
      <c r="F20" s="17"/>
      <c r="G20" s="17"/>
    </row>
    <row r="21" spans="1:10" ht="15.75" x14ac:dyDescent="0.25">
      <c r="A21" s="386" t="s">
        <v>143</v>
      </c>
      <c r="B21" s="386"/>
      <c r="C21" s="386"/>
      <c r="D21" s="386"/>
      <c r="E21" s="386"/>
      <c r="F21" s="386"/>
      <c r="G21" s="386"/>
    </row>
    <row r="22" spans="1:10" ht="15.6" x14ac:dyDescent="0.3">
      <c r="A22" s="376"/>
      <c r="B22" s="377"/>
      <c r="C22" s="378"/>
      <c r="D22" s="17"/>
      <c r="E22" s="17"/>
      <c r="F22" s="17"/>
      <c r="G22" s="17"/>
    </row>
  </sheetData>
  <mergeCells count="5">
    <mergeCell ref="A22:C22"/>
    <mergeCell ref="A2:G2"/>
    <mergeCell ref="G4:G5"/>
    <mergeCell ref="A19:G19"/>
    <mergeCell ref="A21:G2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1.1 Кач. планирования расходов</vt:lpstr>
      <vt:lpstr>1.2. Качество исполнения КП</vt:lpstr>
      <vt:lpstr>1.3. Доля неиспользованых БА</vt:lpstr>
      <vt:lpstr>1.4 Своевременность принятия БО</vt:lpstr>
      <vt:lpstr>1.5 Несоотв. расч-плат док</vt:lpstr>
      <vt:lpstr>1.6 Доля отклоненных ПГЗ</vt:lpstr>
      <vt:lpstr>1.7. Эффективность исп. МТ </vt:lpstr>
      <vt:lpstr>1.8. Эффект.управл. КЗ</vt:lpstr>
      <vt:lpstr>1.9. Налчие просроч.КЗ</vt:lpstr>
      <vt:lpstr>1.10 Приостановление операций</vt:lpstr>
      <vt:lpstr>2.1. Кач-во пл.пост.налог+ненал</vt:lpstr>
      <vt:lpstr>2.2. Качество администр. ост.</vt:lpstr>
      <vt:lpstr>2.3 Кач-во управ. просроч.ДЗ</vt:lpstr>
      <vt:lpstr>3.1 Степень достовер.отчет</vt:lpstr>
      <vt:lpstr>3.2 Нарушение треб. к бюдж.уч.</vt:lpstr>
      <vt:lpstr>4 Наличие на сайте ГМУ</vt:lpstr>
      <vt:lpstr>5 Управление активами</vt:lpstr>
      <vt:lpstr>ИТОГИ</vt:lpstr>
      <vt:lpstr>'1.2. Качество исполнения КП'!Область_печати</vt:lpstr>
      <vt:lpstr>'2.1. Кач-во пл.пост.налог+ненал'!Область_печати</vt:lpstr>
      <vt:lpstr>ИТОГИ!Область_печати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cp:lastModifiedBy>Лебедева Юля Андреевна</cp:lastModifiedBy>
  <cp:lastPrinted>2021-05-13T07:02:43Z</cp:lastPrinted>
  <dcterms:created xsi:type="dcterms:W3CDTF">2021-03-15T06:31:14Z</dcterms:created>
  <dcterms:modified xsi:type="dcterms:W3CDTF">2021-05-13T07:36:28Z</dcterms:modified>
</cp:coreProperties>
</file>