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v42\общая\Бюджет\Оценка качества в пос\за 2022 год\"/>
    </mc:Choice>
  </mc:AlternateContent>
  <bookViews>
    <workbookView xWindow="15" yWindow="600" windowWidth="12120" windowHeight="8025" tabRatio="867" firstSheet="7" activeTab="17"/>
  </bookViews>
  <sheets>
    <sheet name="отнош. дефицита" sheetId="31" r:id="rId1"/>
    <sheet name="отношение мун. долга" sheetId="30" r:id="rId2"/>
    <sheet name="отнош. расх. на обслуж." sheetId="44" r:id="rId3"/>
    <sheet name="доля расх. на сод. аппарата" sheetId="45" r:id="rId4"/>
    <sheet name="сниж. дотационности" sheetId="46" r:id="rId5"/>
    <sheet name="доля кр. зад." sheetId="47" r:id="rId6"/>
    <sheet name="Динам. нал. дох." sheetId="49" r:id="rId7"/>
    <sheet name="Динамика недоимки" sheetId="50" r:id="rId8"/>
    <sheet name="доходы от аренды" sheetId="51" r:id="rId9"/>
    <sheet name="факт. расх." sheetId="53" r:id="rId10"/>
    <sheet name="программы" sheetId="54" r:id="rId11"/>
    <sheet name="МЗ" sheetId="55" r:id="rId12"/>
    <sheet name="расх. на аппарат" sheetId="56" r:id="rId13"/>
    <sheet name="сокращение муниципального долга" sheetId="57" r:id="rId14"/>
    <sheet name="исполнение по доходам" sheetId="59" r:id="rId15"/>
    <sheet name="Равномерность" sheetId="60" r:id="rId16"/>
    <sheet name="Прозрачность бюджета" sheetId="61" r:id="rId17"/>
    <sheet name="ИТОГИ" sheetId="62" r:id="rId18"/>
  </sheets>
  <definedNames>
    <definedName name="_xlnm._FilterDatabase" localSheetId="14" hidden="1">'исполнение по доходам'!$A$7:$G$20</definedName>
    <definedName name="_xlnm.Print_Titles" localSheetId="6">'Динам. нал. дох.'!$A:$B</definedName>
    <definedName name="_xlnm.Print_Titles" localSheetId="7">'Динамика недоимки'!$A:$B</definedName>
    <definedName name="_xlnm.Print_Titles" localSheetId="5">'доля кр. зад.'!$A:$B</definedName>
    <definedName name="_xlnm.Print_Titles" localSheetId="3">'доля расх. на сод. аппарата'!$A:$B</definedName>
    <definedName name="_xlnm.Print_Titles" localSheetId="8">'доходы от аренды'!$A:$B</definedName>
    <definedName name="_xlnm.Print_Titles" localSheetId="14">'исполнение по доходам'!$A:$B</definedName>
    <definedName name="_xlnm.Print_Titles" localSheetId="17">ИТОГИ!$A:$A</definedName>
    <definedName name="_xlnm.Print_Titles" localSheetId="11">МЗ!$A:$B</definedName>
    <definedName name="_xlnm.Print_Titles" localSheetId="0">'отнош. дефицита'!$A:$B</definedName>
    <definedName name="_xlnm.Print_Titles" localSheetId="2">'отнош. расх. на обслуж.'!$A:$B</definedName>
    <definedName name="_xlnm.Print_Titles" localSheetId="1">'отношение мун. долга'!$A:$B</definedName>
    <definedName name="_xlnm.Print_Titles" localSheetId="10">программы!$A:$B</definedName>
    <definedName name="_xlnm.Print_Titles" localSheetId="16">'Прозрачность бюджета'!$A:$B</definedName>
    <definedName name="_xlnm.Print_Titles" localSheetId="15">Равномерность!$A:$B</definedName>
    <definedName name="_xlnm.Print_Titles" localSheetId="12">'расх. на аппарат'!$A:$B</definedName>
    <definedName name="_xlnm.Print_Titles" localSheetId="4">'сниж. дотационности'!$A:$B</definedName>
    <definedName name="_xlnm.Print_Titles" localSheetId="13">'сокращение муниципального долга'!$A:$B</definedName>
    <definedName name="_xlnm.Print_Titles" localSheetId="9">'факт. расх.'!$A:$B</definedName>
    <definedName name="_xlnm.Print_Area" localSheetId="6">'Динам. нал. дох.'!$A$1:$G$25</definedName>
    <definedName name="_xlnm.Print_Area" localSheetId="7">'Динамика недоимки'!$A$1:$G$25</definedName>
    <definedName name="_xlnm.Print_Area" localSheetId="5">'доля кр. зад.'!$A$1:$G$25</definedName>
    <definedName name="_xlnm.Print_Area" localSheetId="3">'доля расх. на сод. аппарата'!$A$1:$G$25</definedName>
    <definedName name="_xlnm.Print_Area" localSheetId="8">'доходы от аренды'!$A$1:$G$25</definedName>
    <definedName name="_xlnm.Print_Area" localSheetId="14">'исполнение по доходам'!$A$1:$G$25</definedName>
    <definedName name="_xlnm.Print_Area" localSheetId="17">ИТОГИ!$A$1:$W$24</definedName>
    <definedName name="_xlnm.Print_Area" localSheetId="11">МЗ!$A$1:$G$25</definedName>
    <definedName name="_xlnm.Print_Area" localSheetId="0">'отнош. дефицита'!$A$1:$G$25</definedName>
    <definedName name="_xlnm.Print_Area" localSheetId="2">'отнош. расх. на обслуж.'!$A$1:$I$25</definedName>
    <definedName name="_xlnm.Print_Area" localSheetId="1">'отношение мун. долга'!$A$1:$G$25</definedName>
    <definedName name="_xlnm.Print_Area" localSheetId="10">программы!$A$1:$G$25</definedName>
    <definedName name="_xlnm.Print_Area" localSheetId="16">'Прозрачность бюджета'!$A$1:$J$25</definedName>
    <definedName name="_xlnm.Print_Area" localSheetId="15">Равномерность!$A$1:$E$25</definedName>
    <definedName name="_xlnm.Print_Area" localSheetId="12">'расх. на аппарат'!$A$1:$G$25</definedName>
    <definedName name="_xlnm.Print_Area" localSheetId="4">'сниж. дотационности'!$A$1:$G$25</definedName>
    <definedName name="_xlnm.Print_Area" localSheetId="13">'сокращение муниципального долга'!$A$1:$G$25</definedName>
    <definedName name="_xlnm.Print_Area" localSheetId="9">'факт. расх.'!$A$1:$G$25</definedName>
  </definedNames>
  <calcPr calcId="152511"/>
</workbook>
</file>

<file path=xl/calcChain.xml><?xml version="1.0" encoding="utf-8"?>
<calcChain xmlns="http://schemas.openxmlformats.org/spreadsheetml/2006/main">
  <c r="X9" i="62" l="1"/>
  <c r="X10" i="62"/>
  <c r="X11" i="62"/>
  <c r="X12" i="62"/>
  <c r="X13" i="62"/>
  <c r="X14" i="62"/>
  <c r="X15" i="62"/>
  <c r="X16" i="62"/>
  <c r="X17" i="62"/>
  <c r="X18" i="62"/>
  <c r="X19" i="62"/>
  <c r="X8" i="62"/>
  <c r="D9" i="60" l="1"/>
  <c r="D10" i="60"/>
  <c r="D11" i="60"/>
  <c r="D12" i="60"/>
  <c r="D13" i="60"/>
  <c r="D14" i="60"/>
  <c r="D15" i="60"/>
  <c r="D16" i="60"/>
  <c r="D17" i="60"/>
  <c r="D18" i="60"/>
  <c r="D19" i="60"/>
  <c r="D8" i="60"/>
  <c r="F9" i="56"/>
  <c r="F10" i="56"/>
  <c r="F11" i="56"/>
  <c r="F12" i="56"/>
  <c r="F13" i="56"/>
  <c r="F14" i="56"/>
  <c r="F15" i="56"/>
  <c r="F16" i="56"/>
  <c r="F17" i="56"/>
  <c r="F18" i="56"/>
  <c r="F19" i="56"/>
  <c r="F8" i="56"/>
  <c r="F16" i="55"/>
  <c r="F17" i="55"/>
  <c r="F18" i="55"/>
  <c r="F19" i="55"/>
  <c r="F9" i="55"/>
  <c r="F10" i="55"/>
  <c r="F11" i="55"/>
  <c r="F12" i="55"/>
  <c r="F13" i="55"/>
  <c r="F14" i="55"/>
  <c r="F15" i="55"/>
  <c r="F20" i="55"/>
  <c r="F8" i="55"/>
  <c r="F19" i="46"/>
  <c r="F17" i="46"/>
  <c r="F14" i="46"/>
  <c r="F15" i="46"/>
  <c r="F13" i="46"/>
  <c r="F11" i="46"/>
  <c r="F10" i="46"/>
  <c r="F9" i="46"/>
  <c r="E9" i="46" l="1"/>
  <c r="G8" i="46"/>
  <c r="F10" i="45"/>
  <c r="F9" i="45"/>
  <c r="F11" i="45"/>
  <c r="F12" i="45"/>
  <c r="F13" i="45"/>
  <c r="F14" i="45"/>
  <c r="F15" i="45"/>
  <c r="F16" i="45"/>
  <c r="F17" i="45"/>
  <c r="F18" i="45"/>
  <c r="F19" i="45"/>
  <c r="F8" i="45"/>
  <c r="F9" i="30" l="1"/>
  <c r="F8" i="30"/>
  <c r="F9" i="31"/>
  <c r="F10" i="31"/>
  <c r="F11" i="31"/>
  <c r="F12" i="31"/>
  <c r="F13" i="31"/>
  <c r="F14" i="31"/>
  <c r="F15" i="31"/>
  <c r="F16" i="31"/>
  <c r="F17" i="31"/>
  <c r="F18" i="31"/>
  <c r="F19" i="31"/>
  <c r="F8" i="31"/>
  <c r="I20" i="44"/>
  <c r="F10" i="30"/>
  <c r="F11" i="30"/>
  <c r="F12" i="30"/>
  <c r="F13" i="30"/>
  <c r="F14" i="30"/>
  <c r="F15" i="30"/>
  <c r="F16" i="30"/>
  <c r="F17" i="30"/>
  <c r="F18" i="30"/>
  <c r="F19" i="30"/>
  <c r="H9" i="44"/>
  <c r="H10" i="44"/>
  <c r="H11" i="44"/>
  <c r="H12" i="44"/>
  <c r="H13" i="44"/>
  <c r="H14" i="44"/>
  <c r="H15" i="44"/>
  <c r="H16" i="44"/>
  <c r="H17" i="44"/>
  <c r="H18" i="44"/>
  <c r="H19" i="44"/>
  <c r="H8" i="44"/>
  <c r="G19" i="44" l="1"/>
  <c r="G20" i="31" l="1"/>
  <c r="D20" i="60" l="1"/>
  <c r="F20" i="30"/>
  <c r="H20" i="44" l="1"/>
  <c r="F20" i="53"/>
  <c r="F9" i="53"/>
  <c r="F10" i="53"/>
  <c r="F11" i="53"/>
  <c r="F12" i="53"/>
  <c r="F13" i="53"/>
  <c r="F14" i="53"/>
  <c r="F15" i="53"/>
  <c r="F16" i="53"/>
  <c r="F17" i="53"/>
  <c r="F18" i="53"/>
  <c r="F19" i="53"/>
  <c r="F8" i="53"/>
  <c r="E8" i="50" l="1"/>
  <c r="F8" i="50" s="1"/>
  <c r="C19" i="46" l="1"/>
  <c r="C17" i="46"/>
  <c r="C15" i="46"/>
  <c r="C14" i="46"/>
  <c r="C13" i="46" l="1"/>
  <c r="C11" i="46"/>
  <c r="C10" i="46"/>
  <c r="C9" i="46"/>
  <c r="D19" i="46"/>
  <c r="D17" i="46"/>
  <c r="D15" i="46"/>
  <c r="D14" i="46"/>
  <c r="D13" i="46"/>
  <c r="D11" i="46"/>
  <c r="D10" i="46"/>
  <c r="D9" i="46"/>
  <c r="E9" i="45" l="1"/>
  <c r="E17" i="57" l="1"/>
  <c r="C20" i="51"/>
  <c r="D8" i="44" l="1"/>
  <c r="F8" i="44" s="1"/>
  <c r="F18" i="57" l="1"/>
  <c r="F19" i="57"/>
  <c r="F11" i="57"/>
  <c r="F12" i="57"/>
  <c r="F16" i="57"/>
  <c r="E8" i="57"/>
  <c r="D9" i="44" l="1"/>
  <c r="D10" i="44"/>
  <c r="D11" i="44"/>
  <c r="D12" i="44"/>
  <c r="D13" i="44"/>
  <c r="D14" i="44"/>
  <c r="D15" i="44"/>
  <c r="D16" i="44"/>
  <c r="D17" i="44"/>
  <c r="D18" i="44"/>
  <c r="D19" i="44"/>
  <c r="E8" i="47" l="1"/>
  <c r="E17" i="30" l="1"/>
  <c r="C20" i="50" l="1"/>
  <c r="E8" i="51" l="1"/>
  <c r="F8" i="51" s="1"/>
  <c r="E19" i="46" l="1"/>
  <c r="E10" i="46" l="1"/>
  <c r="E17" i="46"/>
  <c r="E15" i="46"/>
  <c r="E14" i="46"/>
  <c r="E13" i="46"/>
  <c r="E11" i="46"/>
  <c r="C20" i="56" l="1"/>
  <c r="F17" i="57"/>
  <c r="D20" i="31" l="1"/>
  <c r="E9" i="31" l="1"/>
  <c r="E18" i="60" l="1"/>
  <c r="H20" i="57"/>
  <c r="G11" i="57"/>
  <c r="G12" i="57"/>
  <c r="G16" i="57"/>
  <c r="G17" i="57"/>
  <c r="G18" i="57"/>
  <c r="G19" i="57"/>
  <c r="F18" i="44" l="1"/>
  <c r="G18" i="44" s="1"/>
  <c r="O12" i="62" l="1"/>
  <c r="F8" i="62"/>
  <c r="E8" i="49"/>
  <c r="F8" i="49" s="1"/>
  <c r="G15" i="46"/>
  <c r="F15" i="62" s="1"/>
  <c r="G13" i="46"/>
  <c r="F13" i="62" s="1"/>
  <c r="D20" i="46"/>
  <c r="E16" i="60"/>
  <c r="R16" i="62" s="1"/>
  <c r="E15" i="60"/>
  <c r="R15" i="62" s="1"/>
  <c r="E11" i="60"/>
  <c r="R11" i="62" s="1"/>
  <c r="E10" i="60"/>
  <c r="R10" i="62" s="1"/>
  <c r="E17" i="47"/>
  <c r="E15" i="47"/>
  <c r="F13" i="44"/>
  <c r="D13" i="54" s="1"/>
  <c r="E11" i="47"/>
  <c r="C20" i="30"/>
  <c r="D20" i="57" s="1"/>
  <c r="G18" i="46"/>
  <c r="F18" i="62" s="1"/>
  <c r="G17" i="46"/>
  <c r="F17" i="62" s="1"/>
  <c r="G16" i="46"/>
  <c r="F16" i="62" s="1"/>
  <c r="G12" i="46"/>
  <c r="F12" i="62" s="1"/>
  <c r="G11" i="46"/>
  <c r="F11" i="62" s="1"/>
  <c r="G19" i="46"/>
  <c r="F19" i="62" s="1"/>
  <c r="G14" i="46"/>
  <c r="F14" i="62" s="1"/>
  <c r="R18" i="62"/>
  <c r="E14" i="60"/>
  <c r="R14" i="62" s="1"/>
  <c r="E9" i="59"/>
  <c r="F9" i="59" s="1"/>
  <c r="E10" i="59"/>
  <c r="F10" i="59" s="1"/>
  <c r="E11" i="59"/>
  <c r="F11" i="59" s="1"/>
  <c r="E12" i="59"/>
  <c r="F12" i="59" s="1"/>
  <c r="E13" i="59"/>
  <c r="F13" i="59" s="1"/>
  <c r="E14" i="59"/>
  <c r="F14" i="59" s="1"/>
  <c r="E15" i="59"/>
  <c r="F15" i="59" s="1"/>
  <c r="E16" i="59"/>
  <c r="F16" i="59" s="1"/>
  <c r="E17" i="59"/>
  <c r="F17" i="59" s="1"/>
  <c r="E18" i="59"/>
  <c r="F18" i="59" s="1"/>
  <c r="E19" i="59"/>
  <c r="F19" i="59" s="1"/>
  <c r="E8" i="59"/>
  <c r="F8" i="59" s="1"/>
  <c r="D20" i="51"/>
  <c r="E19" i="51"/>
  <c r="F19" i="51" s="1"/>
  <c r="E18" i="51"/>
  <c r="F18" i="51" s="1"/>
  <c r="E17" i="51"/>
  <c r="F17" i="51" s="1"/>
  <c r="E16" i="51"/>
  <c r="F16" i="51" s="1"/>
  <c r="E15" i="51"/>
  <c r="F15" i="51" s="1"/>
  <c r="E14" i="51"/>
  <c r="F14" i="51" s="1"/>
  <c r="E13" i="51"/>
  <c r="F13" i="51" s="1"/>
  <c r="E12" i="51"/>
  <c r="F12" i="51" s="1"/>
  <c r="E11" i="51"/>
  <c r="F11" i="51" s="1"/>
  <c r="E10" i="51"/>
  <c r="F10" i="51" s="1"/>
  <c r="E9" i="51"/>
  <c r="F9" i="51" s="1"/>
  <c r="E19" i="60"/>
  <c r="R19" i="62" s="1"/>
  <c r="E13" i="60"/>
  <c r="R13" i="62" s="1"/>
  <c r="E12" i="60"/>
  <c r="R12" i="62" s="1"/>
  <c r="E15" i="57"/>
  <c r="F15" i="57" s="1"/>
  <c r="E14" i="57"/>
  <c r="F14" i="57" s="1"/>
  <c r="E13" i="57"/>
  <c r="F13" i="57" s="1"/>
  <c r="F10" i="57"/>
  <c r="C20" i="57"/>
  <c r="E19" i="50"/>
  <c r="F19" i="50" s="1"/>
  <c r="E18" i="50"/>
  <c r="F18" i="50" s="1"/>
  <c r="E17" i="50"/>
  <c r="F17" i="50" s="1"/>
  <c r="E16" i="50"/>
  <c r="F16" i="50" s="1"/>
  <c r="E15" i="50"/>
  <c r="F15" i="50" s="1"/>
  <c r="E14" i="50"/>
  <c r="F14" i="50" s="1"/>
  <c r="E13" i="50"/>
  <c r="F13" i="50" s="1"/>
  <c r="E12" i="50"/>
  <c r="F12" i="50" s="1"/>
  <c r="E11" i="50"/>
  <c r="F11" i="50" s="1"/>
  <c r="E10" i="50"/>
  <c r="F10" i="50" s="1"/>
  <c r="E9" i="50"/>
  <c r="F9" i="50" s="1"/>
  <c r="E19" i="49"/>
  <c r="F19" i="49" s="1"/>
  <c r="E18" i="49"/>
  <c r="F18" i="49" s="1"/>
  <c r="E17" i="49"/>
  <c r="F17" i="49" s="1"/>
  <c r="E16" i="49"/>
  <c r="F16" i="49" s="1"/>
  <c r="E15" i="49"/>
  <c r="F15" i="49" s="1"/>
  <c r="E14" i="49"/>
  <c r="F14" i="49" s="1"/>
  <c r="E13" i="49"/>
  <c r="F13" i="49" s="1"/>
  <c r="E12" i="49"/>
  <c r="F12" i="49" s="1"/>
  <c r="E11" i="49"/>
  <c r="F11" i="49" s="1"/>
  <c r="E10" i="49"/>
  <c r="F10" i="49" s="1"/>
  <c r="E9" i="49"/>
  <c r="F9" i="49" s="1"/>
  <c r="G10" i="46"/>
  <c r="F10" i="62" s="1"/>
  <c r="E8" i="31"/>
  <c r="E16" i="31"/>
  <c r="E8" i="60"/>
  <c r="R8" i="62" s="1"/>
  <c r="E10" i="47"/>
  <c r="E10" i="53"/>
  <c r="E11" i="53"/>
  <c r="E12" i="53"/>
  <c r="E13" i="53"/>
  <c r="E14" i="47"/>
  <c r="E14" i="53"/>
  <c r="E15" i="53"/>
  <c r="E16" i="47"/>
  <c r="E16" i="53"/>
  <c r="E17" i="53"/>
  <c r="E18" i="53"/>
  <c r="E19" i="47"/>
  <c r="E19" i="53"/>
  <c r="E8" i="53"/>
  <c r="E18" i="31"/>
  <c r="O16" i="62"/>
  <c r="O17" i="62"/>
  <c r="O18" i="62"/>
  <c r="O19" i="62"/>
  <c r="J9" i="61"/>
  <c r="V9" i="62" s="1"/>
  <c r="J10" i="61"/>
  <c r="V10" i="62" s="1"/>
  <c r="J11" i="61"/>
  <c r="V11" i="62" s="1"/>
  <c r="J12" i="61"/>
  <c r="V12" i="62" s="1"/>
  <c r="J13" i="61"/>
  <c r="V13" i="62" s="1"/>
  <c r="J14" i="61"/>
  <c r="V14" i="62" s="1"/>
  <c r="J15" i="61"/>
  <c r="V15" i="62" s="1"/>
  <c r="J16" i="61"/>
  <c r="V16" i="62" s="1"/>
  <c r="J17" i="61"/>
  <c r="V17" i="62" s="1"/>
  <c r="J18" i="61"/>
  <c r="V18" i="62" s="1"/>
  <c r="J19" i="61"/>
  <c r="V19" i="62" s="1"/>
  <c r="J8" i="61"/>
  <c r="H9" i="61"/>
  <c r="U9" i="62" s="1"/>
  <c r="H10" i="61"/>
  <c r="U10" i="62" s="1"/>
  <c r="H11" i="61"/>
  <c r="H12" i="61"/>
  <c r="U12" i="62" s="1"/>
  <c r="H13" i="61"/>
  <c r="U13" i="62" s="1"/>
  <c r="H14" i="61"/>
  <c r="U14" i="62" s="1"/>
  <c r="H15" i="61"/>
  <c r="U15" i="62" s="1"/>
  <c r="H16" i="61"/>
  <c r="U16" i="62" s="1"/>
  <c r="H17" i="61"/>
  <c r="U17" i="62" s="1"/>
  <c r="H18" i="61"/>
  <c r="U18" i="62" s="1"/>
  <c r="H19" i="61"/>
  <c r="U19" i="62" s="1"/>
  <c r="H8" i="61"/>
  <c r="U8" i="62" s="1"/>
  <c r="F17" i="61"/>
  <c r="T17" i="62" s="1"/>
  <c r="F9" i="61"/>
  <c r="T9" i="62" s="1"/>
  <c r="F10" i="61"/>
  <c r="T10" i="62" s="1"/>
  <c r="F11" i="61"/>
  <c r="T11" i="62" s="1"/>
  <c r="F12" i="61"/>
  <c r="T12" i="62" s="1"/>
  <c r="F13" i="61"/>
  <c r="T13" i="62" s="1"/>
  <c r="F14" i="61"/>
  <c r="T14" i="62" s="1"/>
  <c r="F15" i="61"/>
  <c r="T15" i="62" s="1"/>
  <c r="F16" i="61"/>
  <c r="T16" i="62" s="1"/>
  <c r="F18" i="61"/>
  <c r="T18" i="62" s="1"/>
  <c r="F19" i="61"/>
  <c r="T19" i="62" s="1"/>
  <c r="F8" i="61"/>
  <c r="T8" i="62" s="1"/>
  <c r="G9" i="47"/>
  <c r="G9" i="62" s="1"/>
  <c r="G10" i="47"/>
  <c r="G10" i="62" s="1"/>
  <c r="G11" i="47"/>
  <c r="G11" i="62" s="1"/>
  <c r="G12" i="47"/>
  <c r="G12" i="62" s="1"/>
  <c r="G13" i="47"/>
  <c r="G14" i="47"/>
  <c r="G14" i="62" s="1"/>
  <c r="G15" i="47"/>
  <c r="G15" i="62" s="1"/>
  <c r="G16" i="47"/>
  <c r="G16" i="62" s="1"/>
  <c r="G17" i="47"/>
  <c r="G17" i="62" s="1"/>
  <c r="G18" i="47"/>
  <c r="G18" i="62" s="1"/>
  <c r="G19" i="47"/>
  <c r="G19" i="62" s="1"/>
  <c r="G8" i="47"/>
  <c r="G8" i="62" s="1"/>
  <c r="E20" i="61"/>
  <c r="G20" i="61"/>
  <c r="I20" i="61"/>
  <c r="C20" i="61"/>
  <c r="C20" i="53"/>
  <c r="E10" i="30"/>
  <c r="E11" i="30"/>
  <c r="E12" i="30"/>
  <c r="E13" i="30"/>
  <c r="E14" i="30"/>
  <c r="G14" i="30" s="1"/>
  <c r="E15" i="30"/>
  <c r="E16" i="30"/>
  <c r="E18" i="30"/>
  <c r="E19" i="30"/>
  <c r="E8" i="30"/>
  <c r="D20" i="50"/>
  <c r="U11" i="62"/>
  <c r="D9" i="61"/>
  <c r="S9" i="62" s="1"/>
  <c r="D10" i="61"/>
  <c r="D11" i="61"/>
  <c r="S11" i="62" s="1"/>
  <c r="D12" i="61"/>
  <c r="S12" i="62" s="1"/>
  <c r="D13" i="61"/>
  <c r="S13" i="62" s="1"/>
  <c r="D14" i="61"/>
  <c r="S14" i="62" s="1"/>
  <c r="D15" i="61"/>
  <c r="S15" i="62" s="1"/>
  <c r="D16" i="61"/>
  <c r="S16" i="62" s="1"/>
  <c r="D17" i="61"/>
  <c r="S17" i="62" s="1"/>
  <c r="D18" i="61"/>
  <c r="S18" i="62" s="1"/>
  <c r="D19" i="61"/>
  <c r="S19" i="62" s="1"/>
  <c r="D8" i="61"/>
  <c r="S8" i="62" s="1"/>
  <c r="E9" i="60"/>
  <c r="R9" i="62" s="1"/>
  <c r="E17" i="60"/>
  <c r="R17" i="62" s="1"/>
  <c r="P9" i="62"/>
  <c r="P10" i="62"/>
  <c r="P11" i="62"/>
  <c r="P12" i="62"/>
  <c r="P15" i="62"/>
  <c r="P16" i="62"/>
  <c r="P19" i="62"/>
  <c r="G20" i="47"/>
  <c r="G13" i="62"/>
  <c r="C20" i="60"/>
  <c r="A9" i="61"/>
  <c r="A10" i="61" s="1"/>
  <c r="A11" i="61" s="1"/>
  <c r="A12" i="61" s="1"/>
  <c r="A13" i="61" s="1"/>
  <c r="A14" i="61" s="1"/>
  <c r="A15" i="61" s="1"/>
  <c r="A9" i="60"/>
  <c r="A10" i="60" s="1"/>
  <c r="A11" i="60" s="1"/>
  <c r="A12" i="60" s="1"/>
  <c r="A13" i="60" s="1"/>
  <c r="A14" i="60" s="1"/>
  <c r="A15" i="60" s="1"/>
  <c r="C20" i="59"/>
  <c r="A9" i="59"/>
  <c r="A10" i="59" s="1"/>
  <c r="A11" i="59" s="1"/>
  <c r="A12" i="59" s="1"/>
  <c r="A13" i="59" s="1"/>
  <c r="A14" i="59" s="1"/>
  <c r="A15" i="59" s="1"/>
  <c r="P13" i="62"/>
  <c r="P14" i="62"/>
  <c r="P17" i="62"/>
  <c r="P18" i="62"/>
  <c r="A9" i="57"/>
  <c r="A10" i="57" s="1"/>
  <c r="A11" i="57" s="1"/>
  <c r="A12" i="57" s="1"/>
  <c r="A13" i="57" s="1"/>
  <c r="A14" i="57" s="1"/>
  <c r="A15" i="57" s="1"/>
  <c r="A9" i="56"/>
  <c r="A10" i="56" s="1"/>
  <c r="A11" i="56" s="1"/>
  <c r="A12" i="56" s="1"/>
  <c r="A13" i="56" s="1"/>
  <c r="A14" i="56" s="1"/>
  <c r="A15" i="56" s="1"/>
  <c r="C20" i="55"/>
  <c r="A9" i="55"/>
  <c r="A10" i="55" s="1"/>
  <c r="A11" i="55" s="1"/>
  <c r="A12" i="55" s="1"/>
  <c r="A13" i="55" s="1"/>
  <c r="A14" i="55" s="1"/>
  <c r="A15" i="55" s="1"/>
  <c r="C20" i="54"/>
  <c r="A9" i="54"/>
  <c r="A10" i="54" s="1"/>
  <c r="A11" i="54" s="1"/>
  <c r="A12" i="54" s="1"/>
  <c r="A13" i="54" s="1"/>
  <c r="A14" i="54" s="1"/>
  <c r="A15" i="54" s="1"/>
  <c r="A9" i="53"/>
  <c r="A10" i="53" s="1"/>
  <c r="A11" i="53" s="1"/>
  <c r="A12" i="53" s="1"/>
  <c r="A13" i="53" s="1"/>
  <c r="A14" i="53" s="1"/>
  <c r="A15" i="53" s="1"/>
  <c r="A9" i="50"/>
  <c r="A10" i="50" s="1"/>
  <c r="A11" i="50" s="1"/>
  <c r="A12" i="50" s="1"/>
  <c r="A13" i="50" s="1"/>
  <c r="A14" i="50" s="1"/>
  <c r="A15" i="50" s="1"/>
  <c r="D20" i="49"/>
  <c r="C20" i="49"/>
  <c r="A9" i="49"/>
  <c r="A10" i="49" s="1"/>
  <c r="A11" i="49" s="1"/>
  <c r="A12" i="49" s="1"/>
  <c r="A13" i="49" s="1"/>
  <c r="A14" i="49" s="1"/>
  <c r="A15" i="49" s="1"/>
  <c r="C20" i="47"/>
  <c r="A9" i="47"/>
  <c r="A10" i="47" s="1"/>
  <c r="A11" i="47" s="1"/>
  <c r="A12" i="47" s="1"/>
  <c r="A13" i="47" s="1"/>
  <c r="A14" i="47" s="1"/>
  <c r="A15" i="47" s="1"/>
  <c r="A9" i="46"/>
  <c r="A10" i="46" s="1"/>
  <c r="A11" i="46" s="1"/>
  <c r="A12" i="46" s="1"/>
  <c r="A13" i="46" s="1"/>
  <c r="A14" i="46" s="1"/>
  <c r="A15" i="46" s="1"/>
  <c r="E10" i="45"/>
  <c r="E11" i="45"/>
  <c r="E12" i="45"/>
  <c r="E13" i="45"/>
  <c r="E14" i="45"/>
  <c r="E15" i="45"/>
  <c r="E16" i="45"/>
  <c r="E17" i="45"/>
  <c r="E18" i="45"/>
  <c r="E19" i="45"/>
  <c r="E8" i="45"/>
  <c r="D20" i="45"/>
  <c r="C20" i="45"/>
  <c r="A9" i="45"/>
  <c r="A10" i="45" s="1"/>
  <c r="A11" i="45" s="1"/>
  <c r="A12" i="45" s="1"/>
  <c r="A13" i="45" s="1"/>
  <c r="A14" i="45" s="1"/>
  <c r="A15" i="45" s="1"/>
  <c r="F10" i="44"/>
  <c r="F12" i="44"/>
  <c r="G12" i="44" s="1"/>
  <c r="F14" i="44"/>
  <c r="F15" i="44"/>
  <c r="D15" i="54" s="1"/>
  <c r="F16" i="44"/>
  <c r="F17" i="44"/>
  <c r="F19" i="44"/>
  <c r="E20" i="44"/>
  <c r="C20" i="44"/>
  <c r="A9" i="44"/>
  <c r="A10" i="44" s="1"/>
  <c r="A11" i="44" s="1"/>
  <c r="A12" i="44" s="1"/>
  <c r="A13" i="44" s="1"/>
  <c r="A14" i="44" s="1"/>
  <c r="A15" i="44" s="1"/>
  <c r="G9" i="31"/>
  <c r="E10" i="31"/>
  <c r="E11" i="31"/>
  <c r="E12" i="31"/>
  <c r="E13" i="31"/>
  <c r="E14" i="31"/>
  <c r="E15" i="31"/>
  <c r="E17" i="31"/>
  <c r="E19" i="31"/>
  <c r="C20" i="31"/>
  <c r="A9" i="31"/>
  <c r="A10" i="31" s="1"/>
  <c r="A11" i="31" s="1"/>
  <c r="A12" i="31" s="1"/>
  <c r="A13" i="31" s="1"/>
  <c r="A14" i="31" s="1"/>
  <c r="A15" i="31" s="1"/>
  <c r="E18" i="47"/>
  <c r="I18" i="44"/>
  <c r="D18" i="62" s="1"/>
  <c r="E12" i="47"/>
  <c r="D20" i="59"/>
  <c r="S10" i="62"/>
  <c r="P8" i="62"/>
  <c r="P20" i="62" s="1"/>
  <c r="E13" i="47"/>
  <c r="E9" i="53"/>
  <c r="D20" i="53"/>
  <c r="G19" i="45" l="1"/>
  <c r="E19" i="62" s="1"/>
  <c r="G18" i="45"/>
  <c r="E18" i="62" s="1"/>
  <c r="G15" i="45"/>
  <c r="E15" i="62" s="1"/>
  <c r="G11" i="45"/>
  <c r="E11" i="62" s="1"/>
  <c r="F9" i="57"/>
  <c r="G9" i="57" s="1"/>
  <c r="O9" i="62" s="1"/>
  <c r="I19" i="44"/>
  <c r="D19" i="62" s="1"/>
  <c r="D14" i="54"/>
  <c r="D14" i="56" s="1"/>
  <c r="D14" i="55"/>
  <c r="E14" i="55" s="1"/>
  <c r="I12" i="44"/>
  <c r="D12" i="62" s="1"/>
  <c r="G17" i="44"/>
  <c r="I17" i="44" s="1"/>
  <c r="D17" i="62" s="1"/>
  <c r="D20" i="61"/>
  <c r="H20" i="61"/>
  <c r="G10" i="49"/>
  <c r="H10" i="62" s="1"/>
  <c r="G12" i="49"/>
  <c r="H12" i="62" s="1"/>
  <c r="G14" i="49"/>
  <c r="H14" i="62" s="1"/>
  <c r="G16" i="49"/>
  <c r="H16" i="62" s="1"/>
  <c r="G18" i="49"/>
  <c r="H18" i="62" s="1"/>
  <c r="G9" i="50"/>
  <c r="I9" i="62" s="1"/>
  <c r="G11" i="50"/>
  <c r="I11" i="62" s="1"/>
  <c r="G13" i="50"/>
  <c r="I13" i="62" s="1"/>
  <c r="G15" i="50"/>
  <c r="I15" i="62" s="1"/>
  <c r="G17" i="50"/>
  <c r="I17" i="62" s="1"/>
  <c r="G19" i="50"/>
  <c r="I19" i="62" s="1"/>
  <c r="G14" i="57"/>
  <c r="O14" i="62" s="1"/>
  <c r="G12" i="51"/>
  <c r="J12" i="62" s="1"/>
  <c r="G16" i="51"/>
  <c r="J16" i="62" s="1"/>
  <c r="G18" i="51"/>
  <c r="J18" i="62" s="1"/>
  <c r="G8" i="49"/>
  <c r="H8" i="62" s="1"/>
  <c r="D16" i="55"/>
  <c r="E16" i="55" s="1"/>
  <c r="G16" i="44"/>
  <c r="G9" i="49"/>
  <c r="H9" i="62" s="1"/>
  <c r="G11" i="49"/>
  <c r="H11" i="62" s="1"/>
  <c r="G13" i="49"/>
  <c r="H13" i="62" s="1"/>
  <c r="G15" i="49"/>
  <c r="H15" i="62" s="1"/>
  <c r="G17" i="49"/>
  <c r="H17" i="62" s="1"/>
  <c r="G19" i="49"/>
  <c r="H19" i="62" s="1"/>
  <c r="G10" i="50"/>
  <c r="I10" i="62" s="1"/>
  <c r="G12" i="50"/>
  <c r="I12" i="62" s="1"/>
  <c r="G14" i="50"/>
  <c r="I14" i="62" s="1"/>
  <c r="G16" i="50"/>
  <c r="I16" i="62" s="1"/>
  <c r="G18" i="50"/>
  <c r="I18" i="62" s="1"/>
  <c r="G13" i="57"/>
  <c r="O13" i="62" s="1"/>
  <c r="G9" i="51"/>
  <c r="J9" i="62" s="1"/>
  <c r="G11" i="51"/>
  <c r="J11" i="62" s="1"/>
  <c r="G15" i="51"/>
  <c r="J15" i="62" s="1"/>
  <c r="G8" i="50"/>
  <c r="I8" i="62" s="1"/>
  <c r="G19" i="59"/>
  <c r="Q19" i="62" s="1"/>
  <c r="G18" i="59"/>
  <c r="Q18" i="62" s="1"/>
  <c r="G17" i="59"/>
  <c r="Q17" i="62" s="1"/>
  <c r="G16" i="59"/>
  <c r="Q16" i="62" s="1"/>
  <c r="G15" i="59"/>
  <c r="Q15" i="62" s="1"/>
  <c r="G14" i="59"/>
  <c r="Q14" i="62" s="1"/>
  <c r="G13" i="59"/>
  <c r="Q13" i="62" s="1"/>
  <c r="G12" i="59"/>
  <c r="Q12" i="62" s="1"/>
  <c r="G11" i="59"/>
  <c r="Q11" i="62" s="1"/>
  <c r="G10" i="59"/>
  <c r="Q10" i="62" s="1"/>
  <c r="G9" i="59"/>
  <c r="Q9" i="62" s="1"/>
  <c r="G8" i="59"/>
  <c r="Q8" i="62" s="1"/>
  <c r="G11" i="31"/>
  <c r="B11" i="62" s="1"/>
  <c r="G12" i="31"/>
  <c r="G10" i="31"/>
  <c r="B10" i="62" s="1"/>
  <c r="G19" i="30"/>
  <c r="G17" i="30"/>
  <c r="C17" i="62" s="1"/>
  <c r="G15" i="30"/>
  <c r="G11" i="30"/>
  <c r="C11" i="62" s="1"/>
  <c r="G18" i="30"/>
  <c r="G16" i="30"/>
  <c r="G12" i="30"/>
  <c r="C12" i="62" s="1"/>
  <c r="G10" i="30"/>
  <c r="C10" i="62" s="1"/>
  <c r="E20" i="31"/>
  <c r="F20" i="31" s="1"/>
  <c r="B9" i="62"/>
  <c r="G19" i="31"/>
  <c r="B19" i="62" s="1"/>
  <c r="G18" i="31"/>
  <c r="G17" i="31"/>
  <c r="G16" i="31"/>
  <c r="G15" i="31"/>
  <c r="B15" i="62" s="1"/>
  <c r="G14" i="31"/>
  <c r="B14" i="62" s="1"/>
  <c r="G13" i="31"/>
  <c r="B13" i="62" s="1"/>
  <c r="G8" i="31"/>
  <c r="G8" i="30"/>
  <c r="C8" i="62" s="1"/>
  <c r="G13" i="30"/>
  <c r="C14" i="62"/>
  <c r="G10" i="57"/>
  <c r="O10" i="62" s="1"/>
  <c r="G19" i="51"/>
  <c r="J19" i="62" s="1"/>
  <c r="G17" i="51"/>
  <c r="J17" i="62" s="1"/>
  <c r="G14" i="51"/>
  <c r="J14" i="62" s="1"/>
  <c r="G13" i="51"/>
  <c r="J13" i="62" s="1"/>
  <c r="G10" i="51"/>
  <c r="J10" i="62" s="1"/>
  <c r="G8" i="51"/>
  <c r="J8" i="62" s="1"/>
  <c r="E20" i="60"/>
  <c r="G17" i="45"/>
  <c r="E17" i="62" s="1"/>
  <c r="G16" i="45"/>
  <c r="E16" i="62" s="1"/>
  <c r="G14" i="45"/>
  <c r="E14" i="62" s="1"/>
  <c r="G13" i="45"/>
  <c r="E13" i="62" s="1"/>
  <c r="G12" i="45"/>
  <c r="E12" i="62" s="1"/>
  <c r="G10" i="45"/>
  <c r="E10" i="62" s="1"/>
  <c r="G9" i="45"/>
  <c r="E9" i="62" s="1"/>
  <c r="G8" i="45"/>
  <c r="E8" i="62" s="1"/>
  <c r="G15" i="57"/>
  <c r="O15" i="62" s="1"/>
  <c r="F8" i="57"/>
  <c r="D19" i="55"/>
  <c r="E19" i="55" s="1"/>
  <c r="D19" i="54"/>
  <c r="D19" i="56" s="1"/>
  <c r="E19" i="56" s="1"/>
  <c r="G19" i="53"/>
  <c r="K19" i="62" s="1"/>
  <c r="D18" i="55"/>
  <c r="E18" i="55" s="1"/>
  <c r="D18" i="54"/>
  <c r="G18" i="53"/>
  <c r="K18" i="62" s="1"/>
  <c r="D17" i="55"/>
  <c r="E17" i="55" s="1"/>
  <c r="D17" i="54"/>
  <c r="G17" i="53"/>
  <c r="K17" i="62" s="1"/>
  <c r="D16" i="54"/>
  <c r="D16" i="56" s="1"/>
  <c r="E16" i="56" s="1"/>
  <c r="G16" i="53"/>
  <c r="K16" i="62" s="1"/>
  <c r="G15" i="53"/>
  <c r="K15" i="62" s="1"/>
  <c r="G14" i="53"/>
  <c r="K14" i="62" s="1"/>
  <c r="G13" i="53"/>
  <c r="K13" i="62" s="1"/>
  <c r="D12" i="55"/>
  <c r="E12" i="55" s="1"/>
  <c r="D12" i="54"/>
  <c r="G12" i="53"/>
  <c r="K12" i="62" s="1"/>
  <c r="G11" i="53"/>
  <c r="K11" i="62" s="1"/>
  <c r="G10" i="44"/>
  <c r="D10" i="54"/>
  <c r="G10" i="53"/>
  <c r="K10" i="62" s="1"/>
  <c r="G9" i="53"/>
  <c r="K9" i="62" s="1"/>
  <c r="G8" i="53"/>
  <c r="K8" i="62" s="1"/>
  <c r="E20" i="59"/>
  <c r="F20" i="59" s="1"/>
  <c r="J20" i="61"/>
  <c r="E20" i="49"/>
  <c r="F20" i="49" s="1"/>
  <c r="E20" i="50"/>
  <c r="F20" i="50" s="1"/>
  <c r="F20" i="61"/>
  <c r="E20" i="57"/>
  <c r="F20" i="57" s="1"/>
  <c r="E20" i="53"/>
  <c r="E20" i="45"/>
  <c r="F20" i="45" s="1"/>
  <c r="D15" i="55"/>
  <c r="E15" i="55" s="1"/>
  <c r="D10" i="55"/>
  <c r="E10" i="55" s="1"/>
  <c r="D20" i="30"/>
  <c r="E20" i="30" s="1"/>
  <c r="E9" i="30"/>
  <c r="E9" i="47"/>
  <c r="D13" i="56"/>
  <c r="D13" i="55"/>
  <c r="E13" i="55" s="1"/>
  <c r="G13" i="44"/>
  <c r="G15" i="44"/>
  <c r="G14" i="44"/>
  <c r="V8" i="62"/>
  <c r="V20" i="62" s="1"/>
  <c r="F11" i="44"/>
  <c r="F9" i="44"/>
  <c r="E20" i="51"/>
  <c r="F20" i="51" s="1"/>
  <c r="G20" i="62"/>
  <c r="C20" i="46"/>
  <c r="E20" i="46" s="1"/>
  <c r="F20" i="46" s="1"/>
  <c r="R20" i="62"/>
  <c r="S20" i="62"/>
  <c r="T20" i="62"/>
  <c r="U20" i="62"/>
  <c r="G9" i="46"/>
  <c r="F9" i="62" s="1"/>
  <c r="F20" i="62" s="1"/>
  <c r="D15" i="56"/>
  <c r="E15" i="56" s="1"/>
  <c r="E15" i="54"/>
  <c r="F15" i="54" s="1"/>
  <c r="E13" i="54"/>
  <c r="F13" i="54" s="1"/>
  <c r="E14" i="54" l="1"/>
  <c r="F14" i="54" s="1"/>
  <c r="I10" i="44"/>
  <c r="D10" i="62" s="1"/>
  <c r="I16" i="44"/>
  <c r="D16" i="62" s="1"/>
  <c r="E16" i="54"/>
  <c r="I20" i="62"/>
  <c r="H20" i="62"/>
  <c r="G20" i="46"/>
  <c r="D11" i="54"/>
  <c r="G11" i="44"/>
  <c r="G20" i="50"/>
  <c r="D9" i="54"/>
  <c r="D9" i="55"/>
  <c r="G20" i="49"/>
  <c r="J20" i="62"/>
  <c r="Q20" i="62"/>
  <c r="G20" i="59"/>
  <c r="E14" i="56"/>
  <c r="C16" i="62"/>
  <c r="C13" i="62"/>
  <c r="C15" i="62"/>
  <c r="C19" i="62"/>
  <c r="B17" i="62"/>
  <c r="B16" i="62"/>
  <c r="B12" i="62"/>
  <c r="B8" i="62"/>
  <c r="B18" i="62"/>
  <c r="G20" i="30"/>
  <c r="G9" i="30"/>
  <c r="C9" i="62" s="1"/>
  <c r="G20" i="51"/>
  <c r="E20" i="62"/>
  <c r="G20" i="45"/>
  <c r="G8" i="57"/>
  <c r="O8" i="62" s="1"/>
  <c r="O20" i="62" s="1"/>
  <c r="G19" i="56"/>
  <c r="N19" i="62" s="1"/>
  <c r="E19" i="54"/>
  <c r="F19" i="54" s="1"/>
  <c r="G19" i="55"/>
  <c r="M19" i="62" s="1"/>
  <c r="G18" i="55"/>
  <c r="M18" i="62" s="1"/>
  <c r="G17" i="55"/>
  <c r="M17" i="62" s="1"/>
  <c r="G16" i="56"/>
  <c r="N16" i="62" s="1"/>
  <c r="G16" i="55"/>
  <c r="M16" i="62" s="1"/>
  <c r="G15" i="56"/>
  <c r="N15" i="62" s="1"/>
  <c r="G15" i="55"/>
  <c r="M15" i="62" s="1"/>
  <c r="G15" i="54"/>
  <c r="L15" i="62" s="1"/>
  <c r="G14" i="54"/>
  <c r="L14" i="62" s="1"/>
  <c r="G14" i="55"/>
  <c r="M14" i="62" s="1"/>
  <c r="G13" i="54"/>
  <c r="L13" i="62" s="1"/>
  <c r="G13" i="55"/>
  <c r="M13" i="62" s="1"/>
  <c r="G12" i="55"/>
  <c r="M12" i="62" s="1"/>
  <c r="G10" i="55"/>
  <c r="M10" i="62" s="1"/>
  <c r="K20" i="62"/>
  <c r="G20" i="53"/>
  <c r="I13" i="44"/>
  <c r="D13" i="62" s="1"/>
  <c r="I14" i="44"/>
  <c r="D14" i="62" s="1"/>
  <c r="I15" i="44"/>
  <c r="D15" i="62" s="1"/>
  <c r="D11" i="55"/>
  <c r="E11" i="55" s="1"/>
  <c r="D12" i="56"/>
  <c r="E12" i="56" s="1"/>
  <c r="E12" i="54"/>
  <c r="F12" i="54" s="1"/>
  <c r="E17" i="54"/>
  <c r="F17" i="54" s="1"/>
  <c r="D17" i="56"/>
  <c r="E17" i="56" s="1"/>
  <c r="G9" i="44"/>
  <c r="E10" i="54"/>
  <c r="F10" i="54" s="1"/>
  <c r="D10" i="56"/>
  <c r="E10" i="56" s="1"/>
  <c r="D18" i="56"/>
  <c r="E18" i="56" s="1"/>
  <c r="E18" i="54"/>
  <c r="F18" i="54" s="1"/>
  <c r="E13" i="56"/>
  <c r="F16" i="54" l="1"/>
  <c r="G16" i="54" s="1"/>
  <c r="L16" i="62" s="1"/>
  <c r="W16" i="62" s="1"/>
  <c r="G14" i="56"/>
  <c r="N14" i="62" s="1"/>
  <c r="W14" i="62" s="1"/>
  <c r="G20" i="57"/>
  <c r="C18" i="62"/>
  <c r="C20" i="62" s="1"/>
  <c r="B20" i="62"/>
  <c r="G19" i="54"/>
  <c r="L19" i="62" s="1"/>
  <c r="W19" i="62" s="1"/>
  <c r="G18" i="56"/>
  <c r="N18" i="62" s="1"/>
  <c r="G18" i="54"/>
  <c r="L18" i="62" s="1"/>
  <c r="G17" i="54"/>
  <c r="L17" i="62" s="1"/>
  <c r="G17" i="56"/>
  <c r="N17" i="62" s="1"/>
  <c r="W15" i="62"/>
  <c r="G13" i="56"/>
  <c r="N13" i="62" s="1"/>
  <c r="W13" i="62" s="1"/>
  <c r="G12" i="56"/>
  <c r="N12" i="62" s="1"/>
  <c r="G12" i="54"/>
  <c r="L12" i="62" s="1"/>
  <c r="G11" i="55"/>
  <c r="M11" i="62" s="1"/>
  <c r="G10" i="54"/>
  <c r="L10" i="62" s="1"/>
  <c r="G10" i="56"/>
  <c r="N10" i="62" s="1"/>
  <c r="I11" i="44"/>
  <c r="D11" i="62" s="1"/>
  <c r="I9" i="44"/>
  <c r="D9" i="62" s="1"/>
  <c r="E11" i="54"/>
  <c r="F11" i="54" s="1"/>
  <c r="D11" i="56"/>
  <c r="E11" i="56" s="1"/>
  <c r="E9" i="54"/>
  <c r="F9" i="54" s="1"/>
  <c r="D9" i="56"/>
  <c r="E9" i="55"/>
  <c r="W17" i="62" l="1"/>
  <c r="W18" i="62"/>
  <c r="W12" i="62"/>
  <c r="G11" i="54"/>
  <c r="L11" i="62" s="1"/>
  <c r="G11" i="56"/>
  <c r="N11" i="62" s="1"/>
  <c r="W10" i="62"/>
  <c r="G9" i="55"/>
  <c r="M9" i="62" s="1"/>
  <c r="G9" i="54"/>
  <c r="L9" i="62" s="1"/>
  <c r="E9" i="56"/>
  <c r="W11" i="62" l="1"/>
  <c r="G9" i="56"/>
  <c r="N9" i="62" s="1"/>
  <c r="W9" i="62" s="1"/>
  <c r="D20" i="44"/>
  <c r="G8" i="44" l="1"/>
  <c r="D8" i="55"/>
  <c r="I8" i="44"/>
  <c r="D8" i="62" s="1"/>
  <c r="D20" i="62" s="1"/>
  <c r="D20" i="47"/>
  <c r="E20" i="47" s="1"/>
  <c r="D8" i="54"/>
  <c r="F20" i="44"/>
  <c r="G20" i="44" l="1"/>
  <c r="D20" i="54"/>
  <c r="E20" i="54" s="1"/>
  <c r="F20" i="54" s="1"/>
  <c r="E8" i="55"/>
  <c r="D20" i="55"/>
  <c r="E20" i="55" s="1"/>
  <c r="D8" i="56"/>
  <c r="D20" i="56" s="1"/>
  <c r="E20" i="56" s="1"/>
  <c r="F20" i="56" s="1"/>
  <c r="E8" i="54"/>
  <c r="F8" i="54" s="1"/>
  <c r="G8" i="54" l="1"/>
  <c r="L8" i="62" s="1"/>
  <c r="L20" i="62" s="1"/>
  <c r="G20" i="55"/>
  <c r="G20" i="54"/>
  <c r="G8" i="55"/>
  <c r="M8" i="62" s="1"/>
  <c r="M20" i="62" s="1"/>
  <c r="E8" i="56"/>
  <c r="G20" i="56" l="1"/>
  <c r="G8" i="56"/>
  <c r="N8" i="62" s="1"/>
  <c r="N20" i="62" l="1"/>
  <c r="W20" i="62" s="1"/>
  <c r="W8" i="62"/>
  <c r="A9" i="30"/>
  <c r="A10" i="30" s="1"/>
  <c r="A11" i="30" s="1"/>
  <c r="A12" i="30" s="1"/>
  <c r="A13" i="30" s="1"/>
  <c r="A14" i="30" s="1"/>
  <c r="A15" i="30" s="1"/>
  <c r="X20" i="62" l="1"/>
</calcChain>
</file>

<file path=xl/sharedStrings.xml><?xml version="1.0" encoding="utf-8"?>
<sst xmlns="http://schemas.openxmlformats.org/spreadsheetml/2006/main" count="544" uniqueCount="134">
  <si>
    <t>Наименование</t>
  </si>
  <si>
    <t>территорий</t>
  </si>
  <si>
    <t>ВСЕГО</t>
  </si>
  <si>
    <t>Ахтанизовское с/п</t>
  </si>
  <si>
    <t>Вышестеблиевское с/п</t>
  </si>
  <si>
    <t>Голубицкое с/п</t>
  </si>
  <si>
    <t>Запорожское с/п</t>
  </si>
  <si>
    <t>Краснострельское с/п</t>
  </si>
  <si>
    <t>Курчанское с/п</t>
  </si>
  <si>
    <t>Новотаманское с/п</t>
  </si>
  <si>
    <t>Сенное с/п</t>
  </si>
  <si>
    <t xml:space="preserve">Старотитаровское с/п </t>
  </si>
  <si>
    <t>Таманское   с/п</t>
  </si>
  <si>
    <t>Фонталовское  с/п</t>
  </si>
  <si>
    <t xml:space="preserve">Городское поселение </t>
  </si>
  <si>
    <t>Отношение  дефицита  бюджета поселения к утвержденному общему объему доходов   бюджета  без    учета утвержденного   объема   безвоздмездных   поступлений   и   (или) поступлений налоговых доходов по дополнительным нормативам отчислений*</t>
  </si>
  <si>
    <t>Начальник бюджетного отдела</t>
  </si>
  <si>
    <t xml:space="preserve">Общий объем доходов, без учета утвержденного   объема   безвоздмездных   поступлений   и   (или) поступлений налоговых доходов по дополнительным нормативам отчислений* </t>
  </si>
  <si>
    <t>Отношение объема муниципаль-ного  долга  к  объему  доходов местного   бюджета   без   учета утвержденного   объема   безвоз¬мездных   поступлений   и   (или) поступлений налоговых доходов по дополнительным нормативам отчислений**</t>
  </si>
  <si>
    <t>Наименование поселения</t>
  </si>
  <si>
    <t>Объем муниципального долга</t>
  </si>
  <si>
    <t>Отношение расходов на обслуживание муниципального долга к   расходам   бюджета  поселения, за исключением объема расходов, которые осуществляются за счет субвенций,     предоставляемых     из бюджетов  бюджетной  системы Российской Федерации</t>
  </si>
  <si>
    <t xml:space="preserve"> расходы   бюджета  поселения, за исключением объема расходов, которые осуществляются за счет субвенций,     предоставляемых     из бюджетов  бюджетной  системы Российской Федерации</t>
  </si>
  <si>
    <t>расходы на обслуживание муниципального долга</t>
  </si>
  <si>
    <t>Расходы ВСЕГО</t>
  </si>
  <si>
    <t>объем расходов, которые осуществляются за счет субвенций,     предоставляемых     из бюджетов  бюджетной  системы Российской Федерации</t>
  </si>
  <si>
    <t>5=3-4</t>
  </si>
  <si>
    <t>Отношение доли расходов на содержание органов местного самоуправления    поселения   к   установленному нормативу   формирования   данных расходов в отчетном периоде</t>
  </si>
  <si>
    <t>расходы на содержание органов местного самоуправления    поселения</t>
  </si>
  <si>
    <t>установленный норматив   формирования   данных расходов в отчетном периоде на содержание органов местного самоуправления</t>
  </si>
  <si>
    <t>Снижение  дотационности  бюджета поселения</t>
  </si>
  <si>
    <t>Отношение   объема   просроченной  кредиторской  задолженности    бюджета   поселения к расходам бюджета</t>
  </si>
  <si>
    <t>объем   просроченной  кредиторской  задолженности    бюджета   поселения</t>
  </si>
  <si>
    <t>Динамика   налоговых   доходов бюджета поселения (за   искл.   поступлений   по   доп. норм. отчислений)</t>
  </si>
  <si>
    <t>4=3/2*100</t>
  </si>
  <si>
    <t>4=2/3</t>
  </si>
  <si>
    <t>Объем недоимки по налоговым, подлежащим зачислению в местный бюджет, на начало отчетного периода</t>
  </si>
  <si>
    <t>Объем недоимки по налоговым, подлежащим зачислению в местный бюджет, на конец отчетного периода</t>
  </si>
  <si>
    <t>Отношение    доходов    бюджета поселения от сдачи имущества в аренду к стоимости  имущества, сданного  в аренду (доходность имущества, сданного в аренду)</t>
  </si>
  <si>
    <t>Стоимость имущества, сданного варенду, на конец отчетного периода</t>
  </si>
  <si>
    <t>Доходы бюджета от сдачи имущества в аренду на конец отчетного периода</t>
  </si>
  <si>
    <t>Отношение фактического исполнения расходов бюджета поселения к уточненным  плановым  показателям расходов поселения</t>
  </si>
  <si>
    <t xml:space="preserve">Уточненные плановые показатели расходов бюджета </t>
  </si>
  <si>
    <t>4=2/3*100</t>
  </si>
  <si>
    <t>6=2/5</t>
  </si>
  <si>
    <t>Удельный вес расходов бюджета поселения, формируемых   в   рамках   программ</t>
  </si>
  <si>
    <t>Удельный вес расходов бюджета поселения на оказание муниципальных услуг (выполнение  работ)  в соответствии с МЗ, в общем объеме расходов бюджета поселения (за исключением расходов,   осуществляемых   за   счет субвенций    и  МТ в связи с передачей полномочий    между    органами местного самоуправления поселений, расходов на обслуживание мун. долга)</t>
  </si>
  <si>
    <t>расходы бюджета поселения на оказание муниципальных услуг (выполнение  работ)  в соответствии с МЗ</t>
  </si>
  <si>
    <t>расходов бюджета поселения (за исключением расходов,   осуществляемых   за   счет субвенций    и  МТ в связи с передачей полномочий    между    органами местного самоуправления поселений, расходов на обслуживание мун. долга)</t>
  </si>
  <si>
    <t>расходы бюджета поселения, формируемых   в   рамках   программ (за искл. субвенций)</t>
  </si>
  <si>
    <t>расходы бюджета поселения (за искл. субвенций)</t>
  </si>
  <si>
    <t>Доля расходов местного бюджета на содержание органов местного   самоуправления   муници-пального образования к общему объему расходов бюджета поселения без переданных полномочий</t>
  </si>
  <si>
    <t>объем расходов бюджета поселения без переданных полномочий</t>
  </si>
  <si>
    <t>Доля расходов местного бюджета на содержание органов местного   самоуправления   муниципального образования к общему объему расходов бюджета поселения без переданных полномочий</t>
  </si>
  <si>
    <t>расходы местного бюджета на содержание органов местного   самоуправления   муниципального образования</t>
  </si>
  <si>
    <t>Отклонение кассовых расходов в 4 квартале от среднего объема кассовых расходов за 1-3 кварталы  отчетного  года  (равномерность исполнения бюджета)</t>
  </si>
  <si>
    <t>Прозрачность бюджетного процесса</t>
  </si>
  <si>
    <t xml:space="preserve">max </t>
  </si>
  <si>
    <t>min</t>
  </si>
  <si>
    <t>Значение показателя</t>
  </si>
  <si>
    <t>5=(Zmax-Zmo)/(Zmax-Zmin)</t>
  </si>
  <si>
    <t>Значение показателя с учетом удельного веса</t>
  </si>
  <si>
    <t>6=5*0,05</t>
  </si>
  <si>
    <t>max</t>
  </si>
  <si>
    <t>6=(Zmax-Zmo)/(Zmax-Zmin)</t>
  </si>
  <si>
    <t>7=6*0,05</t>
  </si>
  <si>
    <t>5=(Zmo-Zmin)/(Zmax-Zmin)</t>
  </si>
  <si>
    <t>Своевременность     предоставления бюджетной отчетности в финансовое управление администрации МОТР</t>
  </si>
  <si>
    <t>3=2*0,05</t>
  </si>
  <si>
    <t>1.1</t>
  </si>
  <si>
    <t>1.2</t>
  </si>
  <si>
    <t>1.4</t>
  </si>
  <si>
    <t>Соблюдение бюджетного законодательства при осуществлении бюджетного процесса</t>
  </si>
  <si>
    <t>Финансовая гибкость</t>
  </si>
  <si>
    <t>2.1</t>
  </si>
  <si>
    <t>2.2</t>
  </si>
  <si>
    <t>3.1</t>
  </si>
  <si>
    <t>3.2</t>
  </si>
  <si>
    <t>3.3</t>
  </si>
  <si>
    <t>Управление бюджетными доходами и муниципальной собственностью</t>
  </si>
  <si>
    <t>4.1</t>
  </si>
  <si>
    <t>4.2</t>
  </si>
  <si>
    <t>4.3</t>
  </si>
  <si>
    <t>4.4</t>
  </si>
  <si>
    <t>Управление бюджетными расходами</t>
  </si>
  <si>
    <t>5.1</t>
  </si>
  <si>
    <t>5.2</t>
  </si>
  <si>
    <t>Управление муниципальным долгом</t>
  </si>
  <si>
    <t>6.1</t>
  </si>
  <si>
    <t>6.2</t>
  </si>
  <si>
    <t>7.1</t>
  </si>
  <si>
    <t>7.2</t>
  </si>
  <si>
    <t>7.3</t>
  </si>
  <si>
    <t>7.4</t>
  </si>
  <si>
    <t>Бюджетное планирование</t>
  </si>
  <si>
    <t>ИТОГО</t>
  </si>
  <si>
    <t>Размещение    на    официальных сайтах органов местного самоуправления поселения "Бюджета для граждан"</t>
  </si>
  <si>
    <t>5=4*0,05</t>
  </si>
  <si>
    <t>9=8*0,05</t>
  </si>
  <si>
    <t xml:space="preserve">Размещение    на    официальном сайте bus.gov.ru информации о государственных (муниципальных) учреждениях (муниципальные задания и отчеты о их выполнении, планы ФХД, бюджетные сметы и др.) </t>
  </si>
  <si>
    <t>Сокращение объема муниципального долга поселений</t>
  </si>
  <si>
    <t>Объем муниципального долга на начало отчетного финансового года</t>
  </si>
  <si>
    <t>Объем муниципального долга на конец отчетного финансового года</t>
  </si>
  <si>
    <t>Дефицит бюджета (без учета остатков средств на начало года)</t>
  </si>
  <si>
    <t>Фактические расходы бюджета (кассовые)</t>
  </si>
  <si>
    <t>Динамика недоимки по налоговым доходам, подлежащим зачислению в местный бюджет</t>
  </si>
  <si>
    <t>1.3</t>
  </si>
  <si>
    <t>Отношение объема муниципального  долга  к  объему  доходов местного   бюджета   без   учета утвержденного   объема   безвозмездных   поступлений   и   (или) поступлений налоговых доходов по дополнительным нормативам отчислений**</t>
  </si>
  <si>
    <t>Доля финансовой помощи в общем объеме доходов бюджета (за исключением субвенций) на конец отчетного года</t>
  </si>
  <si>
    <t>Доля финансовой помощи в общем объеме доходов бюджета (за исключением субвенций) на конец года, предшествующего отчетному</t>
  </si>
  <si>
    <t>4=3/2</t>
  </si>
  <si>
    <t>Исполнение   бюджета  поселения по доходам без учета безвозмездных поступлений  к первоначально утвержденному уровню.</t>
  </si>
  <si>
    <t>Исполнение бюджета поселения по доходам без учета безвозмездных поступлений к первоначально утвержденному уровню.</t>
  </si>
  <si>
    <t>Объем доходов поселений без учета безвозмездных поступлений (первоначальный план)</t>
  </si>
  <si>
    <t>Объем доходов поселений без учета безвозмездных поступлений (факт)</t>
  </si>
  <si>
    <t>Объем налоговых доходов бюджета поселения за 2021 год (за   искл.   поступлений   по   доп. норм. отчислений)</t>
  </si>
  <si>
    <t>2=А4/1,1*(А3+А2+А1)/3)</t>
  </si>
  <si>
    <t>Соотношение  объема муниципального долга на конец отчетного финансового года и объема муниципального долга на начало отчетного финансового года</t>
  </si>
  <si>
    <t>Проведение публичных слушаний по проекту местного бюджета и проекту отчета об исполнении местного бюджета в соответствии  с  установленным по-рядком</t>
  </si>
  <si>
    <t>% от максимального значения</t>
  </si>
  <si>
    <t>Объем налоговых доходов бюджета поселения за 2022 год (за   искл.   поступлений   по   доп. норм. отчислений)</t>
  </si>
  <si>
    <t>Ю.А. Лебедева</t>
  </si>
  <si>
    <t xml:space="preserve">Начальник бюджетного отдела                                                                      </t>
  </si>
  <si>
    <t xml:space="preserve">Начальник бюджетного отдела                                                                 </t>
  </si>
  <si>
    <t>Ю.А.Лебедева</t>
  </si>
  <si>
    <t xml:space="preserve">Начальник бюджетного отдела                                                            </t>
  </si>
  <si>
    <t xml:space="preserve">Начальник бюджетного отдела                                                                    </t>
  </si>
  <si>
    <t xml:space="preserve">Начальник бюджетного отдела                                                             </t>
  </si>
  <si>
    <t xml:space="preserve">Начальник бюджетного отдела                                                                </t>
  </si>
  <si>
    <t xml:space="preserve">Начальник бюджетного отдела                                                               </t>
  </si>
  <si>
    <t xml:space="preserve">Начальник бюджетного отдела                                                           </t>
  </si>
  <si>
    <t xml:space="preserve">Начальник бюджетного отдела                                                                   </t>
  </si>
  <si>
    <t xml:space="preserve">Начальник бюджетного отдела                                                              </t>
  </si>
  <si>
    <t>Итоговая оценка качества организации и осуществления бюджетного процесса в поселении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</si>
</sst>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_-* #,##0.000_р_._-;\-* #,##0.000_р_._-;_-* &quot;-&quot;??_р_._-;_-@_-"/>
    <numFmt numFmtId="169" formatCode="_-* #,##0.0_р_._-;\-* #,##0.0_р_._-;_-* &quot;-&quot;??_р_._-;_-@_-"/>
    <numFmt numFmtId="170" formatCode="#,##0.0"/>
    <numFmt numFmtId="171" formatCode="#,##0.000"/>
    <numFmt numFmtId="172" formatCode="#,##0.00_ ;\-#,##0.00\ "/>
    <numFmt numFmtId="173" formatCode="#,##0.0000"/>
    <numFmt numFmtId="174" formatCode="_-* #,##0.000000\ _₽_-;\-* #,##0.000000\ _₽_-;_-* &quot;-&quot;??????\ _₽_-;_-@_-"/>
    <numFmt numFmtId="175" formatCode="#,##0.000000"/>
    <numFmt numFmtId="176" formatCode="#,##0.00000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14"/>
      <name val="Tahoma"/>
      <family val="2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ahoma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1" applyFont="1" applyFill="1"/>
    <xf numFmtId="0" fontId="5" fillId="0" borderId="0" xfId="1" applyFont="1" applyFill="1"/>
    <xf numFmtId="0" fontId="4" fillId="0" borderId="0" xfId="1" applyFont="1" applyFill="1"/>
    <xf numFmtId="0" fontId="8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right"/>
    </xf>
    <xf numFmtId="0" fontId="2" fillId="0" borderId="0" xfId="1" applyFont="1" applyFill="1"/>
    <xf numFmtId="0" fontId="9" fillId="0" borderId="0" xfId="1" applyFont="1" applyFill="1" applyAlignment="1"/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horizontal="right"/>
    </xf>
    <xf numFmtId="165" fontId="6" fillId="0" borderId="1" xfId="1" applyNumberFormat="1" applyFont="1" applyFill="1" applyBorder="1"/>
    <xf numFmtId="164" fontId="6" fillId="0" borderId="1" xfId="2" applyFont="1" applyFill="1" applyBorder="1" applyAlignment="1">
      <alignment horizontal="right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/>
    <xf numFmtId="0" fontId="6" fillId="0" borderId="0" xfId="1" applyFont="1" applyFill="1"/>
    <xf numFmtId="164" fontId="6" fillId="0" borderId="1" xfId="2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7" xfId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164" fontId="6" fillId="0" borderId="3" xfId="2" applyFont="1" applyFill="1" applyBorder="1" applyAlignment="1">
      <alignment horizontal="center"/>
    </xf>
    <xf numFmtId="0" fontId="9" fillId="0" borderId="0" xfId="1" applyFont="1" applyFill="1" applyBorder="1"/>
    <xf numFmtId="0" fontId="5" fillId="0" borderId="0" xfId="1" applyFont="1" applyFill="1" applyBorder="1"/>
    <xf numFmtId="0" fontId="7" fillId="2" borderId="10" xfId="1" applyFont="1" applyFill="1" applyBorder="1" applyAlignment="1" applyProtection="1">
      <alignment horizontal="center"/>
      <protection locked="0"/>
    </xf>
    <xf numFmtId="164" fontId="6" fillId="0" borderId="11" xfId="2" applyFont="1" applyFill="1" applyBorder="1" applyAlignment="1">
      <alignment horizontal="center"/>
    </xf>
    <xf numFmtId="0" fontId="7" fillId="2" borderId="12" xfId="1" applyFont="1" applyFill="1" applyBorder="1" applyAlignment="1" applyProtection="1">
      <alignment horizontal="left"/>
      <protection locked="0"/>
    </xf>
    <xf numFmtId="164" fontId="7" fillId="2" borderId="13" xfId="2" applyFont="1" applyFill="1" applyBorder="1" applyAlignment="1">
      <alignment horizontal="center"/>
    </xf>
    <xf numFmtId="164" fontId="7" fillId="2" borderId="14" xfId="2" applyFont="1" applyFill="1" applyBorder="1" applyAlignment="1">
      <alignment horizontal="center"/>
    </xf>
    <xf numFmtId="164" fontId="6" fillId="0" borderId="15" xfId="2" applyFont="1" applyFill="1" applyBorder="1" applyAlignment="1">
      <alignment horizontal="center"/>
    </xf>
    <xf numFmtId="164" fontId="6" fillId="0" borderId="11" xfId="2" applyFont="1" applyFill="1" applyBorder="1" applyAlignment="1">
      <alignment horizontal="right"/>
    </xf>
    <xf numFmtId="164" fontId="7" fillId="2" borderId="16" xfId="2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0" fontId="6" fillId="2" borderId="1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wrapText="1"/>
    </xf>
    <xf numFmtId="0" fontId="6" fillId="2" borderId="20" xfId="0" applyFont="1" applyFill="1" applyBorder="1" applyAlignment="1">
      <alignment horizontal="left" wrapText="1"/>
    </xf>
    <xf numFmtId="0" fontId="7" fillId="2" borderId="21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166" fontId="9" fillId="0" borderId="1" xfId="1" applyNumberFormat="1" applyFont="1" applyFill="1" applyBorder="1"/>
    <xf numFmtId="166" fontId="9" fillId="0" borderId="11" xfId="1" applyNumberFormat="1" applyFont="1" applyFill="1" applyBorder="1"/>
    <xf numFmtId="2" fontId="9" fillId="0" borderId="11" xfId="1" applyNumberFormat="1" applyFont="1" applyFill="1" applyBorder="1"/>
    <xf numFmtId="164" fontId="7" fillId="2" borderId="16" xfId="2" applyFont="1" applyFill="1" applyBorder="1" applyAlignment="1">
      <alignment horizontal="center"/>
    </xf>
    <xf numFmtId="164" fontId="7" fillId="2" borderId="22" xfId="2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2" fontId="10" fillId="2" borderId="12" xfId="1" applyNumberFormat="1" applyFont="1" applyFill="1" applyBorder="1"/>
    <xf numFmtId="0" fontId="6" fillId="2" borderId="15" xfId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wrapText="1"/>
    </xf>
    <xf numFmtId="0" fontId="11" fillId="2" borderId="20" xfId="0" applyFont="1" applyFill="1" applyBorder="1" applyAlignment="1">
      <alignment horizontal="left" wrapText="1"/>
    </xf>
    <xf numFmtId="166" fontId="11" fillId="3" borderId="1" xfId="0" applyNumberFormat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11" fillId="3" borderId="3" xfId="0" applyNumberFormat="1" applyFont="1" applyFill="1" applyBorder="1" applyAlignment="1">
      <alignment horizontal="right"/>
    </xf>
    <xf numFmtId="166" fontId="11" fillId="0" borderId="3" xfId="2" applyNumberFormat="1" applyFont="1" applyFill="1" applyBorder="1" applyAlignment="1">
      <alignment horizontal="right"/>
    </xf>
    <xf numFmtId="166" fontId="11" fillId="0" borderId="3" xfId="1" applyNumberFormat="1" applyFont="1" applyFill="1" applyBorder="1" applyAlignment="1">
      <alignment horizontal="right"/>
    </xf>
    <xf numFmtId="166" fontId="11" fillId="2" borderId="21" xfId="0" applyNumberFormat="1" applyFont="1" applyFill="1" applyBorder="1" applyAlignment="1">
      <alignment horizontal="right"/>
    </xf>
    <xf numFmtId="164" fontId="7" fillId="2" borderId="21" xfId="2" applyFont="1" applyFill="1" applyBorder="1" applyAlignment="1">
      <alignment horizontal="right"/>
    </xf>
    <xf numFmtId="166" fontId="7" fillId="2" borderId="23" xfId="1" applyNumberFormat="1" applyFont="1" applyFill="1" applyBorder="1"/>
    <xf numFmtId="167" fontId="11" fillId="0" borderId="1" xfId="1" applyNumberFormat="1" applyFont="1" applyFill="1" applyBorder="1" applyAlignment="1">
      <alignment horizontal="right"/>
    </xf>
    <xf numFmtId="167" fontId="12" fillId="2" borderId="24" xfId="1" applyNumberFormat="1" applyFont="1" applyFill="1" applyBorder="1"/>
    <xf numFmtId="168" fontId="7" fillId="2" borderId="22" xfId="2" applyNumberFormat="1" applyFont="1" applyFill="1" applyBorder="1" applyAlignment="1">
      <alignment horizontal="center"/>
    </xf>
    <xf numFmtId="167" fontId="15" fillId="2" borderId="1" xfId="1" applyNumberFormat="1" applyFont="1" applyFill="1" applyBorder="1" applyAlignment="1">
      <alignment horizontal="right"/>
    </xf>
    <xf numFmtId="166" fontId="11" fillId="2" borderId="22" xfId="0" applyNumberFormat="1" applyFont="1" applyFill="1" applyBorder="1" applyAlignment="1">
      <alignment horizontal="right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7" fillId="2" borderId="13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0" fontId="16" fillId="2" borderId="11" xfId="1" applyFont="1" applyFill="1" applyBorder="1" applyAlignment="1" applyProtection="1">
      <alignment horizontal="center" vertical="center"/>
      <protection locked="0"/>
    </xf>
    <xf numFmtId="0" fontId="17" fillId="2" borderId="12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Alignment="1">
      <alignment vertical="center"/>
    </xf>
    <xf numFmtId="164" fontId="7" fillId="2" borderId="1" xfId="2" applyFont="1" applyFill="1" applyBorder="1" applyAlignment="1">
      <alignment horizontal="right"/>
    </xf>
    <xf numFmtId="0" fontId="16" fillId="2" borderId="1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5" fillId="0" borderId="0" xfId="1" applyNumberFormat="1" applyFont="1" applyFill="1" applyAlignment="1">
      <alignment vertical="center"/>
    </xf>
    <xf numFmtId="2" fontId="9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2" fontId="3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171" fontId="7" fillId="2" borderId="14" xfId="2" applyNumberFormat="1" applyFont="1" applyFill="1" applyBorder="1" applyAlignment="1">
      <alignment horizontal="right" vertical="center"/>
    </xf>
    <xf numFmtId="171" fontId="7" fillId="2" borderId="23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170" fontId="6" fillId="0" borderId="1" xfId="2" applyNumberFormat="1" applyFont="1" applyFill="1" applyBorder="1" applyAlignment="1">
      <alignment horizontal="right" vertical="center"/>
    </xf>
    <xf numFmtId="170" fontId="7" fillId="2" borderId="13" xfId="2" applyNumberFormat="1" applyFont="1" applyFill="1" applyBorder="1" applyAlignment="1">
      <alignment horizontal="right" vertical="center"/>
    </xf>
    <xf numFmtId="170" fontId="7" fillId="2" borderId="13" xfId="1" applyNumberFormat="1" applyFont="1" applyFill="1" applyBorder="1" applyAlignment="1">
      <alignment vertical="center"/>
    </xf>
    <xf numFmtId="171" fontId="7" fillId="2" borderId="13" xfId="2" applyNumberFormat="1" applyFont="1" applyFill="1" applyBorder="1" applyAlignment="1">
      <alignment horizontal="right" vertical="center"/>
    </xf>
    <xf numFmtId="4" fontId="7" fillId="2" borderId="13" xfId="2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/>
    </xf>
    <xf numFmtId="0" fontId="6" fillId="2" borderId="1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166" fontId="12" fillId="2" borderId="1" xfId="1" applyNumberFormat="1" applyFont="1" applyFill="1" applyBorder="1"/>
    <xf numFmtId="171" fontId="19" fillId="0" borderId="1" xfId="2" applyNumberFormat="1" applyFont="1" applyFill="1" applyBorder="1" applyAlignment="1">
      <alignment horizontal="right" vertical="center"/>
    </xf>
    <xf numFmtId="171" fontId="19" fillId="0" borderId="1" xfId="1" applyNumberFormat="1" applyFont="1" applyFill="1" applyBorder="1" applyAlignment="1">
      <alignment horizontal="right" vertical="center"/>
    </xf>
    <xf numFmtId="170" fontId="19" fillId="0" borderId="1" xfId="1" applyNumberFormat="1" applyFont="1" applyFill="1" applyBorder="1" applyAlignment="1">
      <alignment horizontal="right" vertical="center"/>
    </xf>
    <xf numFmtId="171" fontId="19" fillId="0" borderId="1" xfId="2" applyNumberFormat="1" applyFont="1" applyFill="1" applyBorder="1" applyAlignment="1">
      <alignment vertical="center"/>
    </xf>
    <xf numFmtId="171" fontId="19" fillId="0" borderId="1" xfId="1" applyNumberFormat="1" applyFont="1" applyFill="1" applyBorder="1" applyAlignment="1">
      <alignment vertical="center"/>
    </xf>
    <xf numFmtId="170" fontId="19" fillId="0" borderId="1" xfId="2" applyNumberFormat="1" applyFont="1" applyFill="1" applyBorder="1" applyAlignment="1">
      <alignment horizontal="right" vertical="center"/>
    </xf>
    <xf numFmtId="170" fontId="19" fillId="0" borderId="11" xfId="2" applyNumberFormat="1" applyFont="1" applyFill="1" applyBorder="1" applyAlignment="1">
      <alignment horizontal="right" vertical="center"/>
    </xf>
    <xf numFmtId="164" fontId="6" fillId="0" borderId="0" xfId="1" applyNumberFormat="1" applyFont="1" applyFill="1"/>
    <xf numFmtId="174" fontId="6" fillId="0" borderId="0" xfId="1" applyNumberFormat="1" applyFont="1" applyFill="1"/>
    <xf numFmtId="168" fontId="6" fillId="0" borderId="3" xfId="2" applyNumberFormat="1" applyFont="1" applyFill="1" applyBorder="1" applyAlignment="1">
      <alignment horizontal="center"/>
    </xf>
    <xf numFmtId="168" fontId="6" fillId="0" borderId="15" xfId="2" applyNumberFormat="1" applyFont="1" applyFill="1" applyBorder="1" applyAlignment="1">
      <alignment horizontal="center"/>
    </xf>
    <xf numFmtId="169" fontId="6" fillId="0" borderId="1" xfId="2" applyNumberFormat="1" applyFont="1" applyFill="1" applyBorder="1" applyAlignment="1">
      <alignment horizontal="center"/>
    </xf>
    <xf numFmtId="2" fontId="6" fillId="0" borderId="1" xfId="1" applyNumberFormat="1" applyFont="1" applyFill="1" applyBorder="1"/>
    <xf numFmtId="0" fontId="9" fillId="0" borderId="1" xfId="1" applyFont="1" applyFill="1" applyBorder="1"/>
    <xf numFmtId="2" fontId="6" fillId="0" borderId="1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/>
    <xf numFmtId="2" fontId="6" fillId="0" borderId="11" xfId="1" applyNumberFormat="1" applyFont="1" applyFill="1" applyBorder="1"/>
    <xf numFmtId="164" fontId="6" fillId="0" borderId="3" xfId="2" applyFont="1" applyFill="1" applyBorder="1" applyAlignment="1">
      <alignment horizontal="right"/>
    </xf>
    <xf numFmtId="164" fontId="6" fillId="0" borderId="26" xfId="2" applyFont="1" applyFill="1" applyBorder="1" applyAlignment="1">
      <alignment horizontal="center"/>
    </xf>
    <xf numFmtId="166" fontId="6" fillId="0" borderId="1" xfId="1" applyNumberFormat="1" applyFont="1" applyFill="1" applyBorder="1"/>
    <xf numFmtId="164" fontId="6" fillId="0" borderId="19" xfId="2" applyFont="1" applyFill="1" applyBorder="1" applyAlignment="1">
      <alignment horizontal="center"/>
    </xf>
    <xf numFmtId="164" fontId="6" fillId="0" borderId="20" xfId="2" applyFont="1" applyFill="1" applyBorder="1" applyAlignment="1">
      <alignment horizontal="center"/>
    </xf>
    <xf numFmtId="170" fontId="6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/>
    <xf numFmtId="166" fontId="6" fillId="0" borderId="11" xfId="1" applyNumberFormat="1" applyFont="1" applyFill="1" applyBorder="1"/>
    <xf numFmtId="0" fontId="6" fillId="0" borderId="3" xfId="2" applyNumberFormat="1" applyFont="1" applyFill="1" applyBorder="1" applyAlignment="1">
      <alignment horizontal="center"/>
    </xf>
    <xf numFmtId="0" fontId="6" fillId="0" borderId="15" xfId="2" applyNumberFormat="1" applyFont="1" applyFill="1" applyBorder="1" applyAlignment="1">
      <alignment horizontal="center"/>
    </xf>
    <xf numFmtId="0" fontId="7" fillId="2" borderId="22" xfId="1" applyFont="1" applyFill="1" applyBorder="1" applyAlignment="1" applyProtection="1">
      <alignment horizontal="left"/>
      <protection locked="0"/>
    </xf>
    <xf numFmtId="0" fontId="6" fillId="0" borderId="1" xfId="2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1" xfId="1" applyFont="1" applyFill="1" applyBorder="1" applyAlignment="1"/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171" fontId="6" fillId="0" borderId="1" xfId="2" applyNumberFormat="1" applyFont="1" applyFill="1" applyBorder="1" applyAlignment="1">
      <alignment horizontal="right" vertical="center"/>
    </xf>
    <xf numFmtId="171" fontId="6" fillId="0" borderId="1" xfId="2" applyNumberFormat="1" applyFont="1" applyFill="1" applyBorder="1" applyAlignment="1">
      <alignment vertical="center"/>
    </xf>
    <xf numFmtId="171" fontId="6" fillId="0" borderId="1" xfId="1" applyNumberFormat="1" applyFont="1" applyFill="1" applyBorder="1" applyAlignment="1">
      <alignment vertical="center"/>
    </xf>
    <xf numFmtId="173" fontId="6" fillId="0" borderId="1" xfId="1" applyNumberFormat="1" applyFont="1" applyFill="1" applyBorder="1" applyAlignment="1">
      <alignment vertical="center"/>
    </xf>
    <xf numFmtId="173" fontId="6" fillId="0" borderId="1" xfId="2" applyNumberFormat="1" applyFont="1" applyFill="1" applyBorder="1" applyAlignment="1">
      <alignment vertical="center"/>
    </xf>
    <xf numFmtId="171" fontId="6" fillId="0" borderId="3" xfId="1" applyNumberFormat="1" applyFont="1" applyFill="1" applyBorder="1" applyAlignment="1">
      <alignment vertical="center"/>
    </xf>
    <xf numFmtId="171" fontId="6" fillId="0" borderId="11" xfId="1" applyNumberFormat="1" applyFont="1" applyFill="1" applyBorder="1" applyAlignment="1">
      <alignment vertical="center"/>
    </xf>
    <xf numFmtId="173" fontId="6" fillId="2" borderId="1" xfId="1" applyNumberFormat="1" applyFont="1" applyFill="1" applyBorder="1" applyAlignment="1">
      <alignment vertical="center"/>
    </xf>
    <xf numFmtId="171" fontId="6" fillId="2" borderId="1" xfId="1" applyNumberFormat="1" applyFont="1" applyFill="1" applyBorder="1" applyAlignment="1">
      <alignment vertical="center"/>
    </xf>
    <xf numFmtId="171" fontId="6" fillId="0" borderId="1" xfId="1" applyNumberFormat="1" applyFont="1" applyFill="1" applyBorder="1" applyAlignment="1">
      <alignment horizontal="right" vertical="center"/>
    </xf>
    <xf numFmtId="171" fontId="6" fillId="0" borderId="11" xfId="1" applyNumberFormat="1" applyFont="1" applyFill="1" applyBorder="1" applyAlignment="1">
      <alignment horizontal="right" vertical="center"/>
    </xf>
    <xf numFmtId="164" fontId="6" fillId="0" borderId="3" xfId="2" applyNumberFormat="1" applyFont="1" applyFill="1" applyBorder="1" applyAlignment="1">
      <alignment horizontal="center"/>
    </xf>
    <xf numFmtId="173" fontId="6" fillId="0" borderId="1" xfId="1" applyNumberFormat="1" applyFont="1" applyFill="1" applyBorder="1" applyAlignment="1">
      <alignment horizontal="right" vertical="center"/>
    </xf>
    <xf numFmtId="173" fontId="6" fillId="0" borderId="11" xfId="1" applyNumberFormat="1" applyFont="1" applyFill="1" applyBorder="1" applyAlignment="1">
      <alignment horizontal="right" vertical="center"/>
    </xf>
    <xf numFmtId="175" fontId="6" fillId="0" borderId="3" xfId="2" applyNumberFormat="1" applyFont="1" applyFill="1" applyBorder="1" applyAlignment="1">
      <alignment horizontal="center"/>
    </xf>
    <xf numFmtId="175" fontId="7" fillId="2" borderId="22" xfId="2" applyNumberFormat="1" applyFont="1" applyFill="1" applyBorder="1" applyAlignment="1">
      <alignment horizontal="center"/>
    </xf>
    <xf numFmtId="2" fontId="12" fillId="2" borderId="21" xfId="1" applyNumberFormat="1" applyFont="1" applyFill="1" applyBorder="1"/>
    <xf numFmtId="164" fontId="7" fillId="2" borderId="12" xfId="2" applyFont="1" applyFill="1" applyBorder="1" applyAlignment="1">
      <alignment horizontal="right"/>
    </xf>
    <xf numFmtId="164" fontId="7" fillId="2" borderId="24" xfId="2" applyFont="1" applyFill="1" applyBorder="1" applyAlignment="1">
      <alignment horizontal="center"/>
    </xf>
    <xf numFmtId="170" fontId="6" fillId="3" borderId="1" xfId="1" applyNumberFormat="1" applyFont="1" applyFill="1" applyBorder="1" applyAlignment="1">
      <alignment horizontal="right" vertical="center"/>
    </xf>
    <xf numFmtId="170" fontId="20" fillId="0" borderId="11" xfId="1" applyNumberFormat="1" applyFont="1" applyFill="1" applyBorder="1" applyAlignment="1">
      <alignment horizontal="right" vertical="center"/>
    </xf>
    <xf numFmtId="170" fontId="20" fillId="0" borderId="1" xfId="2" applyNumberFormat="1" applyFont="1" applyFill="1" applyBorder="1" applyAlignment="1">
      <alignment horizontal="right" vertical="center"/>
    </xf>
    <xf numFmtId="170" fontId="7" fillId="2" borderId="14" xfId="2" applyNumberFormat="1" applyFont="1" applyFill="1" applyBorder="1" applyAlignment="1">
      <alignment horizontal="right" vertical="center"/>
    </xf>
    <xf numFmtId="164" fontId="7" fillId="2" borderId="3" xfId="2" applyFont="1" applyFill="1" applyBorder="1" applyAlignment="1">
      <alignment horizontal="center"/>
    </xf>
    <xf numFmtId="166" fontId="12" fillId="2" borderId="39" xfId="1" applyNumberFormat="1" applyFont="1" applyFill="1" applyBorder="1"/>
    <xf numFmtId="164" fontId="6" fillId="0" borderId="15" xfId="2" applyFont="1" applyFill="1" applyBorder="1" applyAlignment="1">
      <alignment horizontal="right"/>
    </xf>
    <xf numFmtId="164" fontId="20" fillId="0" borderId="1" xfId="2" applyFont="1" applyFill="1" applyBorder="1" applyAlignment="1">
      <alignment horizontal="center"/>
    </xf>
    <xf numFmtId="164" fontId="6" fillId="3" borderId="1" xfId="2" applyFont="1" applyFill="1" applyBorder="1" applyAlignment="1">
      <alignment horizontal="center"/>
    </xf>
    <xf numFmtId="171" fontId="21" fillId="0" borderId="1" xfId="1" applyNumberFormat="1" applyFont="1" applyFill="1" applyBorder="1" applyAlignment="1">
      <alignment horizontal="right" vertical="center"/>
    </xf>
    <xf numFmtId="164" fontId="6" fillId="3" borderId="11" xfId="2" applyFont="1" applyFill="1" applyBorder="1" applyAlignment="1">
      <alignment horizontal="center"/>
    </xf>
    <xf numFmtId="0" fontId="9" fillId="0" borderId="0" xfId="1" applyFont="1" applyFill="1" applyBorder="1" applyAlignment="1">
      <alignment vertical="center" wrapText="1"/>
    </xf>
    <xf numFmtId="176" fontId="6" fillId="0" borderId="3" xfId="2" applyNumberFormat="1" applyFont="1" applyFill="1" applyBorder="1" applyAlignment="1">
      <alignment horizontal="center"/>
    </xf>
    <xf numFmtId="168" fontId="7" fillId="2" borderId="22" xfId="2" applyNumberFormat="1" applyFont="1" applyFill="1" applyBorder="1" applyAlignment="1"/>
    <xf numFmtId="0" fontId="6" fillId="2" borderId="1" xfId="1" applyFont="1" applyFill="1" applyBorder="1" applyAlignment="1">
      <alignment horizontal="center" vertical="center"/>
    </xf>
    <xf numFmtId="168" fontId="7" fillId="2" borderId="21" xfId="2" applyNumberFormat="1" applyFont="1" applyFill="1" applyBorder="1" applyAlignment="1">
      <alignment horizontal="right"/>
    </xf>
    <xf numFmtId="2" fontId="7" fillId="2" borderId="3" xfId="2" applyNumberFormat="1" applyFont="1" applyFill="1" applyBorder="1" applyAlignment="1">
      <alignment horizontal="center"/>
    </xf>
    <xf numFmtId="166" fontId="7" fillId="2" borderId="39" xfId="1" applyNumberFormat="1" applyFont="1" applyFill="1" applyBorder="1"/>
    <xf numFmtId="165" fontId="9" fillId="0" borderId="0" xfId="1" applyNumberFormat="1" applyFont="1" applyFill="1" applyBorder="1"/>
    <xf numFmtId="164" fontId="7" fillId="2" borderId="24" xfId="2" applyFont="1" applyFill="1" applyBorder="1" applyAlignment="1">
      <alignment horizontal="right"/>
    </xf>
    <xf numFmtId="167" fontId="5" fillId="0" borderId="0" xfId="1" applyNumberFormat="1" applyFont="1" applyFill="1"/>
    <xf numFmtId="0" fontId="2" fillId="0" borderId="0" xfId="1" applyFont="1" applyFill="1" applyAlignment="1">
      <alignment wrapText="1"/>
    </xf>
    <xf numFmtId="170" fontId="6" fillId="0" borderId="1" xfId="1" applyNumberFormat="1" applyFont="1" applyFill="1" applyBorder="1" applyAlignment="1">
      <alignment vertical="center"/>
    </xf>
    <xf numFmtId="170" fontId="6" fillId="0" borderId="11" xfId="1" applyNumberFormat="1" applyFont="1" applyFill="1" applyBorder="1" applyAlignment="1">
      <alignment vertical="center"/>
    </xf>
    <xf numFmtId="170" fontId="6" fillId="0" borderId="11" xfId="1" applyNumberFormat="1" applyFont="1" applyFill="1" applyBorder="1" applyAlignment="1">
      <alignment horizontal="right" vertical="center"/>
    </xf>
    <xf numFmtId="164" fontId="7" fillId="2" borderId="25" xfId="2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right" vertical="center"/>
    </xf>
    <xf numFmtId="172" fontId="6" fillId="0" borderId="1" xfId="2" applyNumberFormat="1" applyFont="1" applyFill="1" applyBorder="1" applyAlignment="1">
      <alignment vertical="center"/>
    </xf>
    <xf numFmtId="172" fontId="6" fillId="0" borderId="11" xfId="2" applyNumberFormat="1" applyFont="1" applyFill="1" applyBorder="1" applyAlignment="1">
      <alignment vertical="center"/>
    </xf>
    <xf numFmtId="171" fontId="6" fillId="0" borderId="11" xfId="2" applyNumberFormat="1" applyFont="1" applyFill="1" applyBorder="1" applyAlignment="1">
      <alignment vertical="center"/>
    </xf>
    <xf numFmtId="172" fontId="7" fillId="2" borderId="13" xfId="2" applyNumberFormat="1" applyFont="1" applyFill="1" applyBorder="1" applyAlignment="1">
      <alignment vertical="center"/>
    </xf>
    <xf numFmtId="171" fontId="7" fillId="2" borderId="14" xfId="2" applyNumberFormat="1" applyFont="1" applyFill="1" applyBorder="1" applyAlignment="1">
      <alignment vertical="center"/>
    </xf>
    <xf numFmtId="171" fontId="7" fillId="2" borderId="1" xfId="1" applyNumberFormat="1" applyFont="1" applyFill="1" applyBorder="1" applyAlignment="1">
      <alignment vertical="center"/>
    </xf>
    <xf numFmtId="171" fontId="7" fillId="2" borderId="23" xfId="1" applyNumberFormat="1" applyFont="1" applyFill="1" applyBorder="1" applyAlignment="1">
      <alignment vertical="center"/>
    </xf>
    <xf numFmtId="170" fontId="6" fillId="0" borderId="1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3" borderId="1" xfId="2" applyNumberFormat="1" applyFont="1" applyFill="1" applyBorder="1" applyAlignment="1">
      <alignment horizontal="right" vertical="center"/>
    </xf>
    <xf numFmtId="4" fontId="6" fillId="0" borderId="11" xfId="2" applyNumberFormat="1" applyFont="1" applyFill="1" applyBorder="1" applyAlignment="1">
      <alignment horizontal="right" vertical="center"/>
    </xf>
    <xf numFmtId="4" fontId="6" fillId="0" borderId="11" xfId="1" applyNumberFormat="1" applyFont="1" applyFill="1" applyBorder="1" applyAlignment="1">
      <alignment horizontal="right" vertical="center"/>
    </xf>
    <xf numFmtId="171" fontId="6" fillId="0" borderId="11" xfId="2" applyNumberFormat="1" applyFont="1" applyFill="1" applyBorder="1" applyAlignment="1">
      <alignment horizontal="right" vertical="center"/>
    </xf>
    <xf numFmtId="171" fontId="7" fillId="2" borderId="12" xfId="2" applyNumberFormat="1" applyFont="1" applyFill="1" applyBorder="1" applyAlignment="1">
      <alignment horizontal="right" vertical="center"/>
    </xf>
    <xf numFmtId="171" fontId="7" fillId="2" borderId="24" xfId="1" applyNumberFormat="1" applyFont="1" applyFill="1" applyBorder="1" applyAlignment="1">
      <alignment horizontal="right" vertical="center"/>
    </xf>
    <xf numFmtId="172" fontId="6" fillId="0" borderId="1" xfId="2" applyNumberFormat="1" applyFont="1" applyFill="1" applyBorder="1" applyAlignment="1">
      <alignment horizontal="right" vertical="center"/>
    </xf>
    <xf numFmtId="172" fontId="6" fillId="0" borderId="11" xfId="2" applyNumberFormat="1" applyFont="1" applyFill="1" applyBorder="1" applyAlignment="1">
      <alignment horizontal="right" vertical="center"/>
    </xf>
    <xf numFmtId="172" fontId="7" fillId="2" borderId="13" xfId="2" applyNumberFormat="1" applyFont="1" applyFill="1" applyBorder="1" applyAlignment="1">
      <alignment horizontal="right" vertical="center"/>
    </xf>
    <xf numFmtId="171" fontId="7" fillId="2" borderId="21" xfId="2" applyNumberFormat="1" applyFont="1" applyFill="1" applyBorder="1" applyAlignment="1">
      <alignment horizontal="right" vertical="center"/>
    </xf>
    <xf numFmtId="0" fontId="8" fillId="0" borderId="0" xfId="1" applyFont="1" applyFill="1" applyAlignment="1"/>
    <xf numFmtId="171" fontId="7" fillId="2" borderId="1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/>
    <xf numFmtId="173" fontId="19" fillId="0" borderId="11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right"/>
    </xf>
    <xf numFmtId="0" fontId="6" fillId="2" borderId="11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8" fillId="0" borderId="0" xfId="1" applyFont="1" applyFill="1" applyAlignment="1">
      <alignment horizontal="left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6" fillId="2" borderId="3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16" fillId="2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wrapText="1"/>
    </xf>
    <xf numFmtId="0" fontId="11" fillId="2" borderId="3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28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49" fontId="6" fillId="2" borderId="3" xfId="1" applyNumberFormat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textRotation="90"/>
    </xf>
    <xf numFmtId="0" fontId="13" fillId="2" borderId="27" xfId="1" applyFont="1" applyFill="1" applyBorder="1" applyAlignment="1">
      <alignment horizontal="center" vertical="center" textRotation="90"/>
    </xf>
    <xf numFmtId="0" fontId="13" fillId="2" borderId="28" xfId="1" applyFont="1" applyFill="1" applyBorder="1" applyAlignment="1">
      <alignment horizontal="center" vertical="center" textRotation="90"/>
    </xf>
    <xf numFmtId="0" fontId="11" fillId="2" borderId="3" xfId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/>
    <xf numFmtId="2" fontId="7" fillId="2" borderId="1" xfId="1" applyNumberFormat="1" applyFont="1" applyFill="1" applyBorder="1"/>
    <xf numFmtId="168" fontId="7" fillId="2" borderId="22" xfId="2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6" fillId="0" borderId="15" xfId="2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_коммун_цены_на_01.04.05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H26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ColWidth="9.140625" defaultRowHeight="12.75" x14ac:dyDescent="0.2"/>
  <cols>
    <col min="1" max="1" width="4.140625" style="1" customWidth="1"/>
    <col min="2" max="2" width="23.28515625" style="1" customWidth="1"/>
    <col min="3" max="3" width="19.85546875" style="1" customWidth="1"/>
    <col min="4" max="4" width="31.28515625" style="1" customWidth="1"/>
    <col min="5" max="5" width="50.7109375" style="1" customWidth="1"/>
    <col min="6" max="6" width="19.28515625" style="1" customWidth="1"/>
    <col min="7" max="7" width="17.140625" style="1" customWidth="1"/>
    <col min="8" max="16384" width="9.140625" style="1"/>
  </cols>
  <sheetData>
    <row r="1" spans="1:8" ht="48" customHeight="1" x14ac:dyDescent="0.2">
      <c r="A1" s="223" t="s">
        <v>15</v>
      </c>
      <c r="B1" s="223"/>
      <c r="C1" s="223"/>
      <c r="D1" s="223"/>
      <c r="E1" s="223"/>
      <c r="F1" s="223"/>
      <c r="G1" s="223"/>
    </row>
    <row r="2" spans="1:8" ht="12.75" customHeight="1" x14ac:dyDescent="0.2">
      <c r="A2" s="224"/>
      <c r="B2" s="227" t="s">
        <v>19</v>
      </c>
      <c r="C2" s="227" t="s">
        <v>103</v>
      </c>
      <c r="D2" s="227" t="s">
        <v>17</v>
      </c>
      <c r="E2" s="220" t="s">
        <v>15</v>
      </c>
      <c r="F2" s="220" t="s">
        <v>59</v>
      </c>
      <c r="G2" s="220" t="s">
        <v>61</v>
      </c>
    </row>
    <row r="3" spans="1:8" ht="12.75" customHeight="1" x14ac:dyDescent="0.2">
      <c r="A3" s="225"/>
      <c r="B3" s="227" t="s">
        <v>0</v>
      </c>
      <c r="C3" s="227"/>
      <c r="D3" s="227"/>
      <c r="E3" s="221"/>
      <c r="F3" s="221"/>
      <c r="G3" s="221"/>
    </row>
    <row r="4" spans="1:8" ht="18.75" customHeight="1" x14ac:dyDescent="0.2">
      <c r="A4" s="225"/>
      <c r="B4" s="227" t="s">
        <v>1</v>
      </c>
      <c r="C4" s="227"/>
      <c r="D4" s="227"/>
      <c r="E4" s="221"/>
      <c r="F4" s="221"/>
      <c r="G4" s="221"/>
    </row>
    <row r="5" spans="1:8" ht="48" customHeight="1" x14ac:dyDescent="0.2">
      <c r="A5" s="225"/>
      <c r="B5" s="227"/>
      <c r="C5" s="227"/>
      <c r="D5" s="227"/>
      <c r="E5" s="221"/>
      <c r="F5" s="221"/>
      <c r="G5" s="221"/>
    </row>
    <row r="6" spans="1:8" ht="19.5" customHeight="1" x14ac:dyDescent="0.2">
      <c r="A6" s="226"/>
      <c r="B6" s="227"/>
      <c r="C6" s="227"/>
      <c r="D6" s="227"/>
      <c r="E6" s="222"/>
      <c r="F6" s="222"/>
      <c r="G6" s="222"/>
    </row>
    <row r="7" spans="1:8" ht="36.75" customHeight="1" x14ac:dyDescent="0.25">
      <c r="A7" s="13"/>
      <c r="B7" s="47">
        <v>1</v>
      </c>
      <c r="C7" s="15">
        <v>2</v>
      </c>
      <c r="D7" s="15">
        <v>3</v>
      </c>
      <c r="E7" s="15" t="s">
        <v>35</v>
      </c>
      <c r="F7" s="15" t="s">
        <v>60</v>
      </c>
      <c r="G7" s="47" t="s">
        <v>62</v>
      </c>
    </row>
    <row r="8" spans="1:8" s="73" customFormat="1" ht="23.25" customHeight="1" x14ac:dyDescent="0.2">
      <c r="A8" s="72">
        <v>1</v>
      </c>
      <c r="B8" s="14" t="s">
        <v>14</v>
      </c>
      <c r="C8" s="169">
        <v>10238.286</v>
      </c>
      <c r="D8" s="191">
        <v>310930.5</v>
      </c>
      <c r="E8" s="117">
        <f t="shared" ref="E8:E20" si="0">C8/D8</f>
        <v>3.2927892246016395E-2</v>
      </c>
      <c r="F8" s="155">
        <f>($E$17-E8)/($E$17-0)</f>
        <v>0.64554600075091617</v>
      </c>
      <c r="G8" s="152">
        <f t="shared" ref="G8:G19" si="1">F8*0.05</f>
        <v>3.2277300037545809E-2</v>
      </c>
    </row>
    <row r="9" spans="1:8" s="73" customFormat="1" ht="23.25" customHeight="1" x14ac:dyDescent="0.2">
      <c r="A9" s="72">
        <f t="shared" ref="A9:A15" si="2">A8+1</f>
        <v>2</v>
      </c>
      <c r="B9" s="74" t="s">
        <v>3</v>
      </c>
      <c r="C9" s="119"/>
      <c r="D9" s="191">
        <v>23202</v>
      </c>
      <c r="E9" s="117">
        <f t="shared" si="0"/>
        <v>0</v>
      </c>
      <c r="F9" s="155">
        <f t="shared" ref="F9:F19" si="3">($E$17-E9)/($E$17-0)</f>
        <v>1</v>
      </c>
      <c r="G9" s="152">
        <f t="shared" si="1"/>
        <v>0.05</v>
      </c>
      <c r="H9" s="88"/>
    </row>
    <row r="10" spans="1:8" s="73" customFormat="1" ht="23.25" customHeight="1" x14ac:dyDescent="0.2">
      <c r="A10" s="72">
        <f t="shared" si="2"/>
        <v>3</v>
      </c>
      <c r="B10" s="74" t="s">
        <v>4</v>
      </c>
      <c r="C10" s="116"/>
      <c r="D10" s="191">
        <v>39102</v>
      </c>
      <c r="E10" s="118">
        <f t="shared" si="0"/>
        <v>0</v>
      </c>
      <c r="F10" s="155">
        <f t="shared" si="3"/>
        <v>1</v>
      </c>
      <c r="G10" s="152">
        <f t="shared" si="1"/>
        <v>0.05</v>
      </c>
      <c r="H10" s="88"/>
    </row>
    <row r="11" spans="1:8" s="73" customFormat="1" ht="23.25" customHeight="1" x14ac:dyDescent="0.2">
      <c r="A11" s="72">
        <f t="shared" si="2"/>
        <v>4</v>
      </c>
      <c r="B11" s="74" t="s">
        <v>5</v>
      </c>
      <c r="C11" s="116"/>
      <c r="D11" s="191">
        <v>45585.7</v>
      </c>
      <c r="E11" s="118">
        <f t="shared" si="0"/>
        <v>0</v>
      </c>
      <c r="F11" s="155">
        <f t="shared" si="3"/>
        <v>1</v>
      </c>
      <c r="G11" s="152">
        <f t="shared" si="1"/>
        <v>0.05</v>
      </c>
    </row>
    <row r="12" spans="1:8" s="73" customFormat="1" ht="23.25" customHeight="1" x14ac:dyDescent="0.2">
      <c r="A12" s="72">
        <f t="shared" si="2"/>
        <v>5</v>
      </c>
      <c r="B12" s="74" t="s">
        <v>6</v>
      </c>
      <c r="C12" s="119">
        <v>0</v>
      </c>
      <c r="D12" s="191">
        <v>55656.9</v>
      </c>
      <c r="E12" s="117">
        <f t="shared" si="0"/>
        <v>0</v>
      </c>
      <c r="F12" s="155">
        <f t="shared" si="3"/>
        <v>1</v>
      </c>
      <c r="G12" s="152">
        <f t="shared" si="1"/>
        <v>0.05</v>
      </c>
      <c r="H12" s="73" t="s">
        <v>58</v>
      </c>
    </row>
    <row r="13" spans="1:8" s="73" customFormat="1" ht="23.25" customHeight="1" x14ac:dyDescent="0.2">
      <c r="A13" s="72">
        <f t="shared" si="2"/>
        <v>6</v>
      </c>
      <c r="B13" s="74" t="s">
        <v>7</v>
      </c>
      <c r="C13" s="104">
        <v>448</v>
      </c>
      <c r="D13" s="191">
        <v>42017.5</v>
      </c>
      <c r="E13" s="154">
        <f t="shared" si="0"/>
        <v>1.0662224073302791E-2</v>
      </c>
      <c r="F13" s="155">
        <f t="shared" si="3"/>
        <v>0.88522593746858347</v>
      </c>
      <c r="G13" s="152">
        <f t="shared" si="1"/>
        <v>4.4261296873429175E-2</v>
      </c>
    </row>
    <row r="14" spans="1:8" s="73" customFormat="1" ht="23.25" customHeight="1" x14ac:dyDescent="0.2">
      <c r="A14" s="72">
        <f t="shared" si="2"/>
        <v>7</v>
      </c>
      <c r="B14" s="74" t="s">
        <v>8</v>
      </c>
      <c r="C14" s="136">
        <v>0</v>
      </c>
      <c r="D14" s="191">
        <v>38294.5</v>
      </c>
      <c r="E14" s="152">
        <f t="shared" si="0"/>
        <v>0</v>
      </c>
      <c r="F14" s="155">
        <f t="shared" si="3"/>
        <v>1</v>
      </c>
      <c r="G14" s="152">
        <f t="shared" si="1"/>
        <v>0.05</v>
      </c>
      <c r="H14" s="88"/>
    </row>
    <row r="15" spans="1:8" s="73" customFormat="1" ht="23.25" customHeight="1" x14ac:dyDescent="0.2">
      <c r="A15" s="72">
        <f t="shared" si="2"/>
        <v>8</v>
      </c>
      <c r="B15" s="74" t="s">
        <v>9</v>
      </c>
      <c r="C15" s="136">
        <v>0</v>
      </c>
      <c r="D15" s="191">
        <v>29614.698130000001</v>
      </c>
      <c r="E15" s="152">
        <f t="shared" si="0"/>
        <v>0</v>
      </c>
      <c r="F15" s="155">
        <f t="shared" si="3"/>
        <v>1</v>
      </c>
      <c r="G15" s="152">
        <f t="shared" si="1"/>
        <v>0.05</v>
      </c>
    </row>
    <row r="16" spans="1:8" s="73" customFormat="1" ht="23.25" customHeight="1" x14ac:dyDescent="0.2">
      <c r="A16" s="72">
        <v>9</v>
      </c>
      <c r="B16" s="74" t="s">
        <v>10</v>
      </c>
      <c r="C16" s="104"/>
      <c r="D16" s="191">
        <v>53082.2</v>
      </c>
      <c r="E16" s="151">
        <f t="shared" si="0"/>
        <v>0</v>
      </c>
      <c r="F16" s="155">
        <f t="shared" si="3"/>
        <v>1</v>
      </c>
      <c r="G16" s="152">
        <f t="shared" si="1"/>
        <v>0.05</v>
      </c>
    </row>
    <row r="17" spans="1:8" s="73" customFormat="1" ht="23.25" customHeight="1" x14ac:dyDescent="0.2">
      <c r="A17" s="72">
        <v>10</v>
      </c>
      <c r="B17" s="74" t="s">
        <v>11</v>
      </c>
      <c r="C17" s="136">
        <v>5800</v>
      </c>
      <c r="D17" s="191">
        <v>62434.400000000001</v>
      </c>
      <c r="E17" s="153">
        <f t="shared" si="0"/>
        <v>9.2897505221480464E-2</v>
      </c>
      <c r="F17" s="155">
        <f t="shared" si="3"/>
        <v>0</v>
      </c>
      <c r="G17" s="152">
        <f t="shared" si="1"/>
        <v>0</v>
      </c>
      <c r="H17" s="73" t="s">
        <v>57</v>
      </c>
    </row>
    <row r="18" spans="1:8" s="73" customFormat="1" ht="23.25" customHeight="1" x14ac:dyDescent="0.2">
      <c r="A18" s="72">
        <v>11</v>
      </c>
      <c r="B18" s="74" t="s">
        <v>12</v>
      </c>
      <c r="C18" s="119">
        <v>0</v>
      </c>
      <c r="D18" s="191">
        <v>327223</v>
      </c>
      <c r="E18" s="151">
        <f t="shared" si="0"/>
        <v>0</v>
      </c>
      <c r="F18" s="155">
        <f t="shared" si="3"/>
        <v>1</v>
      </c>
      <c r="G18" s="152">
        <f t="shared" si="1"/>
        <v>0.05</v>
      </c>
    </row>
    <row r="19" spans="1:8" s="73" customFormat="1" ht="23.25" customHeight="1" thickBot="1" x14ac:dyDescent="0.25">
      <c r="A19" s="75">
        <v>12</v>
      </c>
      <c r="B19" s="76" t="s">
        <v>13</v>
      </c>
      <c r="C19" s="170">
        <v>450</v>
      </c>
      <c r="D19" s="192">
        <v>42105.828240000003</v>
      </c>
      <c r="E19" s="218">
        <f t="shared" si="0"/>
        <v>1.0687356568193704E-2</v>
      </c>
      <c r="F19" s="155">
        <f t="shared" si="3"/>
        <v>0.88495539742737361</v>
      </c>
      <c r="G19" s="156">
        <f t="shared" si="1"/>
        <v>4.4247769871368685E-2</v>
      </c>
    </row>
    <row r="20" spans="1:8" s="73" customFormat="1" ht="23.25" customHeight="1" thickBot="1" x14ac:dyDescent="0.25">
      <c r="A20" s="77"/>
      <c r="B20" s="78" t="s">
        <v>2</v>
      </c>
      <c r="C20" s="106">
        <f>SUM(C8:C19)</f>
        <v>16936.286</v>
      </c>
      <c r="D20" s="106">
        <f>SUM(D8:D19)</f>
        <v>1069249.22637</v>
      </c>
      <c r="E20" s="157">
        <f t="shared" si="0"/>
        <v>1.5839418521252608E-2</v>
      </c>
      <c r="F20" s="158">
        <f t="shared" ref="F20" si="4">(0.0995-E20)/(0.0995-0)</f>
        <v>0.84080986410801406</v>
      </c>
      <c r="G20" s="158">
        <f>F20*0.05</f>
        <v>4.2040493205400709E-2</v>
      </c>
    </row>
    <row r="21" spans="1:8" ht="36.75" customHeight="1" x14ac:dyDescent="0.3">
      <c r="A21" s="4"/>
      <c r="B21" s="4"/>
      <c r="C21" s="4"/>
      <c r="D21" s="4"/>
      <c r="E21" s="4"/>
      <c r="H21" s="2"/>
    </row>
    <row r="22" spans="1:8" ht="18.75" x14ac:dyDescent="0.3">
      <c r="A22" s="4"/>
      <c r="B22" s="4" t="s">
        <v>16</v>
      </c>
      <c r="C22" s="4"/>
      <c r="D22" s="4"/>
      <c r="E22" s="10"/>
      <c r="F22" s="219" t="s">
        <v>121</v>
      </c>
      <c r="G22" s="219"/>
    </row>
    <row r="23" spans="1:8" ht="18.75" x14ac:dyDescent="0.3">
      <c r="A23" s="4"/>
      <c r="B23" s="4"/>
      <c r="C23" s="4"/>
      <c r="D23" s="4"/>
      <c r="E23" s="4"/>
    </row>
    <row r="24" spans="1:8" ht="18.75" x14ac:dyDescent="0.3">
      <c r="A24" s="3"/>
      <c r="B24" s="4"/>
      <c r="C24" s="3"/>
      <c r="D24" s="3"/>
      <c r="E24" s="3"/>
    </row>
    <row r="25" spans="1:8" ht="18.75" x14ac:dyDescent="0.3">
      <c r="A25" s="3"/>
      <c r="B25" s="9"/>
      <c r="C25" s="3"/>
      <c r="D25" s="3"/>
      <c r="E25" s="3"/>
    </row>
    <row r="26" spans="1:8" ht="15" x14ac:dyDescent="0.2">
      <c r="A26" s="2"/>
      <c r="B26" s="2"/>
      <c r="C26" s="2"/>
      <c r="D26" s="2"/>
      <c r="E26" s="2"/>
    </row>
  </sheetData>
  <mergeCells count="9">
    <mergeCell ref="F22:G22"/>
    <mergeCell ref="F2:F6"/>
    <mergeCell ref="G2:G6"/>
    <mergeCell ref="A1:G1"/>
    <mergeCell ref="A2:A6"/>
    <mergeCell ref="B2:B6"/>
    <mergeCell ref="C2:C6"/>
    <mergeCell ref="D2:D6"/>
    <mergeCell ref="E2:E6"/>
  </mergeCells>
  <phoneticPr fontId="2" type="noConversion"/>
  <pageMargins left="0.78740157480314965" right="0.19685039370078741" top="0.31496062992125984" bottom="0.15748031496062992" header="0" footer="0"/>
  <pageSetup paperSize="9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0" sqref="F20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19.140625" style="1" customWidth="1"/>
    <col min="4" max="4" width="23.7109375" style="39" customWidth="1"/>
    <col min="5" max="5" width="35.5703125" style="1" customWidth="1"/>
    <col min="6" max="6" width="21.28515625" style="1" customWidth="1"/>
    <col min="7" max="7" width="18" style="1" customWidth="1"/>
    <col min="8" max="16384" width="9.140625" style="1"/>
  </cols>
  <sheetData>
    <row r="1" spans="1:33" ht="33.75" customHeight="1" thickBot="1" x14ac:dyDescent="0.25">
      <c r="A1" s="234" t="s">
        <v>41</v>
      </c>
      <c r="B1" s="234"/>
      <c r="C1" s="234"/>
      <c r="D1" s="234"/>
      <c r="E1" s="234"/>
      <c r="F1" s="234"/>
      <c r="G1" s="234"/>
    </row>
    <row r="2" spans="1:33" ht="12.75" customHeight="1" x14ac:dyDescent="0.2">
      <c r="A2" s="236"/>
      <c r="B2" s="239" t="s">
        <v>19</v>
      </c>
      <c r="C2" s="235" t="s">
        <v>42</v>
      </c>
      <c r="D2" s="235" t="s">
        <v>104</v>
      </c>
      <c r="E2" s="231" t="s">
        <v>41</v>
      </c>
      <c r="F2" s="231" t="s">
        <v>59</v>
      </c>
      <c r="G2" s="231" t="s">
        <v>61</v>
      </c>
    </row>
    <row r="3" spans="1:33" ht="12.75" customHeight="1" x14ac:dyDescent="0.2">
      <c r="A3" s="237"/>
      <c r="B3" s="227" t="s">
        <v>0</v>
      </c>
      <c r="C3" s="221"/>
      <c r="D3" s="221"/>
      <c r="E3" s="232"/>
      <c r="F3" s="232"/>
      <c r="G3" s="232"/>
    </row>
    <row r="4" spans="1:33" ht="15.75" customHeight="1" x14ac:dyDescent="0.2">
      <c r="A4" s="237"/>
      <c r="B4" s="227" t="s">
        <v>1</v>
      </c>
      <c r="C4" s="221"/>
      <c r="D4" s="221"/>
      <c r="E4" s="232"/>
      <c r="F4" s="232"/>
      <c r="G4" s="232"/>
    </row>
    <row r="5" spans="1:33" ht="16.5" customHeight="1" x14ac:dyDescent="0.2">
      <c r="A5" s="237"/>
      <c r="B5" s="227"/>
      <c r="C5" s="221"/>
      <c r="D5" s="221"/>
      <c r="E5" s="232"/>
      <c r="F5" s="232"/>
      <c r="G5" s="232"/>
    </row>
    <row r="6" spans="1:33" ht="36.75" customHeight="1" x14ac:dyDescent="0.2">
      <c r="A6" s="238"/>
      <c r="B6" s="227"/>
      <c r="C6" s="222"/>
      <c r="D6" s="222"/>
      <c r="E6" s="233"/>
      <c r="F6" s="233"/>
      <c r="G6" s="233"/>
    </row>
    <row r="7" spans="1:33" ht="38.25" customHeight="1" x14ac:dyDescent="0.25">
      <c r="A7" s="19"/>
      <c r="B7" s="13">
        <v>1</v>
      </c>
      <c r="C7" s="20">
        <v>2</v>
      </c>
      <c r="D7" s="21">
        <v>3</v>
      </c>
      <c r="E7" s="22" t="s">
        <v>34</v>
      </c>
      <c r="F7" s="15" t="s">
        <v>66</v>
      </c>
      <c r="G7" s="22" t="s">
        <v>62</v>
      </c>
      <c r="H7" s="7"/>
    </row>
    <row r="8" spans="1:33" s="2" customFormat="1" ht="24.75" customHeight="1" x14ac:dyDescent="0.25">
      <c r="A8" s="23">
        <v>1</v>
      </c>
      <c r="B8" s="24" t="s">
        <v>14</v>
      </c>
      <c r="C8" s="18">
        <v>606246.5</v>
      </c>
      <c r="D8" s="110">
        <v>492412.51</v>
      </c>
      <c r="E8" s="28">
        <f>D8/C8*100</f>
        <v>81.223150979015969</v>
      </c>
      <c r="F8" s="50">
        <f>(E8-70.42)/(99.9-70.42)</f>
        <v>0.36645695315522275</v>
      </c>
      <c r="G8" s="48">
        <f>F8*0.05</f>
        <v>1.8322847657761137E-2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33.75" customHeight="1" x14ac:dyDescent="0.25">
      <c r="A9" s="25">
        <f t="shared" ref="A9:A15" si="0">A8+1</f>
        <v>2</v>
      </c>
      <c r="B9" s="26" t="s">
        <v>3</v>
      </c>
      <c r="C9" s="18">
        <v>52539.07</v>
      </c>
      <c r="D9" s="110">
        <v>51485.59</v>
      </c>
      <c r="E9" s="28">
        <f t="shared" ref="E9:E20" si="1">D9/C9*100</f>
        <v>97.994863631959987</v>
      </c>
      <c r="F9" s="50">
        <f t="shared" ref="F9:F20" si="2">(E9-70.42)/(99.9-70.42)</f>
        <v>0.93537529280732634</v>
      </c>
      <c r="G9" s="48">
        <f t="shared" ref="G9:G20" si="3">F9*0.05</f>
        <v>4.676876464036632E-2</v>
      </c>
    </row>
    <row r="10" spans="1:33" s="2" customFormat="1" ht="29.25" customHeight="1" x14ac:dyDescent="0.25">
      <c r="A10" s="25">
        <f t="shared" si="0"/>
        <v>3</v>
      </c>
      <c r="B10" s="26" t="s">
        <v>4</v>
      </c>
      <c r="C10" s="18">
        <v>76482.8</v>
      </c>
      <c r="D10" s="110">
        <v>74171.94</v>
      </c>
      <c r="E10" s="28">
        <f t="shared" si="1"/>
        <v>96.978588649997121</v>
      </c>
      <c r="F10" s="50">
        <f t="shared" si="2"/>
        <v>0.90090192164169325</v>
      </c>
      <c r="G10" s="48">
        <f t="shared" si="3"/>
        <v>4.5045096082084665E-2</v>
      </c>
      <c r="I10" s="8"/>
      <c r="J10" s="8"/>
    </row>
    <row r="11" spans="1:33" s="2" customFormat="1" ht="28.5" customHeight="1" x14ac:dyDescent="0.25">
      <c r="A11" s="25">
        <f t="shared" si="0"/>
        <v>4</v>
      </c>
      <c r="B11" s="26" t="s">
        <v>5</v>
      </c>
      <c r="C11" s="18">
        <v>152047.79999999999</v>
      </c>
      <c r="D11" s="110">
        <v>142478.92000000001</v>
      </c>
      <c r="E11" s="28">
        <f t="shared" si="1"/>
        <v>93.706663299304566</v>
      </c>
      <c r="F11" s="50">
        <f t="shared" si="2"/>
        <v>0.78991395180816015</v>
      </c>
      <c r="G11" s="48">
        <f t="shared" si="3"/>
        <v>3.949569759040801E-2</v>
      </c>
    </row>
    <row r="12" spans="1:33" s="2" customFormat="1" ht="28.5" customHeight="1" x14ac:dyDescent="0.25">
      <c r="A12" s="25">
        <f t="shared" si="0"/>
        <v>5</v>
      </c>
      <c r="B12" s="26" t="s">
        <v>6</v>
      </c>
      <c r="C12" s="18">
        <v>76583.11</v>
      </c>
      <c r="D12" s="110">
        <v>66674.87</v>
      </c>
      <c r="E12" s="28">
        <f t="shared" si="1"/>
        <v>87.062108081011587</v>
      </c>
      <c r="F12" s="50">
        <f t="shared" si="2"/>
        <v>0.56452198375208895</v>
      </c>
      <c r="G12" s="48">
        <f t="shared" si="3"/>
        <v>2.822609918760445E-2</v>
      </c>
    </row>
    <row r="13" spans="1:33" s="2" customFormat="1" ht="27.75" customHeight="1" x14ac:dyDescent="0.25">
      <c r="A13" s="25">
        <f t="shared" si="0"/>
        <v>6</v>
      </c>
      <c r="B13" s="26" t="s">
        <v>7</v>
      </c>
      <c r="C13" s="18">
        <v>77379.94</v>
      </c>
      <c r="D13" s="110">
        <v>75371.23</v>
      </c>
      <c r="E13" s="28">
        <f t="shared" si="1"/>
        <v>97.404094652955266</v>
      </c>
      <c r="F13" s="50">
        <f t="shared" si="2"/>
        <v>0.91533563951679986</v>
      </c>
      <c r="G13" s="48">
        <f t="shared" si="3"/>
        <v>4.5766781975839999E-2</v>
      </c>
      <c r="H13" s="8"/>
    </row>
    <row r="14" spans="1:33" s="2" customFormat="1" ht="21.6" customHeight="1" x14ac:dyDescent="0.25">
      <c r="A14" s="25">
        <f t="shared" si="0"/>
        <v>7</v>
      </c>
      <c r="B14" s="26" t="s">
        <v>8</v>
      </c>
      <c r="C14" s="18">
        <v>71180.62</v>
      </c>
      <c r="D14" s="110">
        <v>69455.39</v>
      </c>
      <c r="E14" s="28">
        <f t="shared" si="1"/>
        <v>97.57626443826986</v>
      </c>
      <c r="F14" s="50">
        <f t="shared" si="2"/>
        <v>0.9211758628992488</v>
      </c>
      <c r="G14" s="48">
        <f t="shared" si="3"/>
        <v>4.6058793144962445E-2</v>
      </c>
    </row>
    <row r="15" spans="1:33" s="2" customFormat="1" ht="22.5" customHeight="1" x14ac:dyDescent="0.25">
      <c r="A15" s="25">
        <f t="shared" si="0"/>
        <v>8</v>
      </c>
      <c r="B15" s="26" t="s">
        <v>9</v>
      </c>
      <c r="C15" s="18">
        <v>93826.5</v>
      </c>
      <c r="D15" s="110">
        <v>66075.14</v>
      </c>
      <c r="E15" s="28">
        <f>D15/C15*100</f>
        <v>70.422684422844299</v>
      </c>
      <c r="F15" s="50">
        <f t="shared" si="2"/>
        <v>9.1059119548738757E-5</v>
      </c>
      <c r="G15" s="48">
        <f t="shared" si="3"/>
        <v>4.5529559774369379E-6</v>
      </c>
      <c r="H15" s="2" t="s">
        <v>58</v>
      </c>
    </row>
    <row r="16" spans="1:33" s="2" customFormat="1" ht="24.75" customHeight="1" x14ac:dyDescent="0.25">
      <c r="A16" s="25">
        <v>9</v>
      </c>
      <c r="B16" s="26" t="s">
        <v>10</v>
      </c>
      <c r="C16" s="18">
        <v>68237.41</v>
      </c>
      <c r="D16" s="110">
        <v>68172.070000000007</v>
      </c>
      <c r="E16" s="28">
        <f t="shared" si="1"/>
        <v>99.904246072645492</v>
      </c>
      <c r="F16" s="50">
        <f t="shared" si="2"/>
        <v>1.0001440323149757</v>
      </c>
      <c r="G16" s="48">
        <f t="shared" si="3"/>
        <v>5.0007201615748786E-2</v>
      </c>
      <c r="H16" s="2" t="s">
        <v>63</v>
      </c>
    </row>
    <row r="17" spans="1:7" s="2" customFormat="1" ht="30.75" customHeight="1" x14ac:dyDescent="0.25">
      <c r="A17" s="25">
        <v>10</v>
      </c>
      <c r="B17" s="26" t="s">
        <v>11</v>
      </c>
      <c r="C17" s="18">
        <v>82767.62</v>
      </c>
      <c r="D17" s="110">
        <v>77105.14</v>
      </c>
      <c r="E17" s="28">
        <f t="shared" si="1"/>
        <v>93.158580614013061</v>
      </c>
      <c r="F17" s="50">
        <f t="shared" si="2"/>
        <v>0.77132227320261382</v>
      </c>
      <c r="G17" s="48">
        <f t="shared" si="3"/>
        <v>3.8566113660130692E-2</v>
      </c>
    </row>
    <row r="18" spans="1:7" s="2" customFormat="1" ht="28.5" customHeight="1" x14ac:dyDescent="0.25">
      <c r="A18" s="25">
        <v>11</v>
      </c>
      <c r="B18" s="26" t="s">
        <v>12</v>
      </c>
      <c r="C18" s="18">
        <v>427946.64</v>
      </c>
      <c r="D18" s="110">
        <v>415005.85</v>
      </c>
      <c r="E18" s="28">
        <f t="shared" si="1"/>
        <v>96.976073932955742</v>
      </c>
      <c r="F18" s="50">
        <f t="shared" si="2"/>
        <v>0.90081661916403455</v>
      </c>
      <c r="G18" s="48">
        <f t="shared" si="3"/>
        <v>4.504083095820173E-2</v>
      </c>
    </row>
    <row r="19" spans="1:7" s="2" customFormat="1" ht="22.5" customHeight="1" x14ac:dyDescent="0.25">
      <c r="A19" s="25">
        <v>12</v>
      </c>
      <c r="B19" s="27" t="s">
        <v>13</v>
      </c>
      <c r="C19" s="32">
        <v>64343.12</v>
      </c>
      <c r="D19" s="110">
        <v>60352.36</v>
      </c>
      <c r="E19" s="36">
        <f t="shared" si="1"/>
        <v>93.797689636436658</v>
      </c>
      <c r="F19" s="50">
        <f t="shared" si="2"/>
        <v>0.79300168373258662</v>
      </c>
      <c r="G19" s="49">
        <f t="shared" si="3"/>
        <v>3.9650084186629332E-2</v>
      </c>
    </row>
    <row r="20" spans="1:7" s="2" customFormat="1" ht="30.75" customHeight="1" thickBot="1" x14ac:dyDescent="0.3">
      <c r="A20" s="31"/>
      <c r="B20" s="112" t="s">
        <v>2</v>
      </c>
      <c r="C20" s="89">
        <f>SUM(C8:C19)</f>
        <v>1849581.13</v>
      </c>
      <c r="D20" s="89">
        <f>SUM(D8:D19)</f>
        <v>1658761.01</v>
      </c>
      <c r="E20" s="173">
        <f t="shared" si="1"/>
        <v>89.683062997079787</v>
      </c>
      <c r="F20" s="254">
        <f t="shared" si="2"/>
        <v>0.6534281885033848</v>
      </c>
      <c r="G20" s="174">
        <f t="shared" si="3"/>
        <v>3.2671409425169239E-2</v>
      </c>
    </row>
    <row r="21" spans="1:7" ht="15.75" x14ac:dyDescent="0.25">
      <c r="A21" s="17"/>
      <c r="B21" s="17"/>
      <c r="C21" s="17"/>
      <c r="D21" s="6"/>
      <c r="E21" s="17"/>
    </row>
    <row r="22" spans="1:7" ht="18.75" x14ac:dyDescent="0.3">
      <c r="A22" s="230" t="s">
        <v>127</v>
      </c>
      <c r="B22" s="230"/>
      <c r="C22" s="230"/>
      <c r="D22" s="230"/>
      <c r="E22" s="230"/>
      <c r="F22" s="219" t="s">
        <v>124</v>
      </c>
      <c r="G22" s="219"/>
    </row>
    <row r="23" spans="1:7" ht="15.75" x14ac:dyDescent="0.25">
      <c r="A23" s="17"/>
      <c r="B23" s="17"/>
      <c r="C23" s="17"/>
      <c r="D23" s="6"/>
      <c r="E23" s="17"/>
    </row>
    <row r="24" spans="1:7" ht="15.75" x14ac:dyDescent="0.25">
      <c r="A24" s="17"/>
      <c r="B24" s="17"/>
      <c r="C24" s="17"/>
      <c r="D24" s="6"/>
      <c r="E24" s="17"/>
    </row>
    <row r="25" spans="1:7" ht="15.75" x14ac:dyDescent="0.25">
      <c r="A25" s="17"/>
      <c r="B25" s="5"/>
      <c r="C25" s="17"/>
      <c r="D25" s="6"/>
      <c r="E25" s="17"/>
    </row>
    <row r="26" spans="1:7" ht="18.75" x14ac:dyDescent="0.3">
      <c r="A26" s="4"/>
      <c r="B26" s="4"/>
      <c r="C26" s="4"/>
      <c r="D26" s="10"/>
      <c r="E26" s="4"/>
    </row>
    <row r="27" spans="1:7" ht="18.75" x14ac:dyDescent="0.3">
      <c r="A27" s="4"/>
      <c r="B27" s="4"/>
      <c r="C27" s="4"/>
      <c r="D27" s="10"/>
      <c r="E27" s="4"/>
    </row>
    <row r="28" spans="1:7" ht="18.75" x14ac:dyDescent="0.3">
      <c r="A28" s="4"/>
      <c r="B28" s="4"/>
      <c r="C28" s="4"/>
      <c r="D28" s="10"/>
      <c r="E28" s="4"/>
    </row>
    <row r="29" spans="1:7" ht="18.75" x14ac:dyDescent="0.3">
      <c r="A29" s="4"/>
      <c r="B29" s="4"/>
      <c r="C29" s="4"/>
      <c r="D29" s="10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:D8 D9:D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16" sqref="N16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19.140625" style="1" customWidth="1"/>
    <col min="4" max="4" width="23.7109375" style="39" customWidth="1"/>
    <col min="5" max="5" width="29.42578125" style="1" customWidth="1"/>
    <col min="6" max="6" width="20.85546875" style="1" customWidth="1"/>
    <col min="7" max="7" width="18.85546875" style="1" customWidth="1"/>
    <col min="8" max="16384" width="9.140625" style="1"/>
  </cols>
  <sheetData>
    <row r="1" spans="1:33" ht="32.25" customHeight="1" thickBot="1" x14ac:dyDescent="0.25">
      <c r="A1" s="234" t="s">
        <v>45</v>
      </c>
      <c r="B1" s="234"/>
      <c r="C1" s="234"/>
      <c r="D1" s="234"/>
      <c r="E1" s="234"/>
      <c r="F1" s="234"/>
      <c r="G1" s="234"/>
    </row>
    <row r="2" spans="1:33" ht="12.75" customHeight="1" x14ac:dyDescent="0.2">
      <c r="A2" s="236"/>
      <c r="B2" s="239" t="s">
        <v>19</v>
      </c>
      <c r="C2" s="235" t="s">
        <v>49</v>
      </c>
      <c r="D2" s="235" t="s">
        <v>50</v>
      </c>
      <c r="E2" s="231" t="s">
        <v>45</v>
      </c>
      <c r="F2" s="231" t="s">
        <v>59</v>
      </c>
      <c r="G2" s="231" t="s">
        <v>61</v>
      </c>
    </row>
    <row r="3" spans="1:33" ht="12.75" customHeight="1" x14ac:dyDescent="0.2">
      <c r="A3" s="237"/>
      <c r="B3" s="227" t="s">
        <v>0</v>
      </c>
      <c r="C3" s="221"/>
      <c r="D3" s="221"/>
      <c r="E3" s="232"/>
      <c r="F3" s="232"/>
      <c r="G3" s="232"/>
    </row>
    <row r="4" spans="1:33" ht="15.75" customHeight="1" x14ac:dyDescent="0.2">
      <c r="A4" s="237"/>
      <c r="B4" s="227" t="s">
        <v>1</v>
      </c>
      <c r="C4" s="221"/>
      <c r="D4" s="221"/>
      <c r="E4" s="232"/>
      <c r="F4" s="232"/>
      <c r="G4" s="232"/>
    </row>
    <row r="5" spans="1:33" ht="16.5" customHeight="1" x14ac:dyDescent="0.2">
      <c r="A5" s="237"/>
      <c r="B5" s="227"/>
      <c r="C5" s="221"/>
      <c r="D5" s="221"/>
      <c r="E5" s="232"/>
      <c r="F5" s="232"/>
      <c r="G5" s="232"/>
    </row>
    <row r="6" spans="1:33" ht="58.5" customHeight="1" x14ac:dyDescent="0.2">
      <c r="A6" s="238"/>
      <c r="B6" s="227"/>
      <c r="C6" s="222"/>
      <c r="D6" s="222"/>
      <c r="E6" s="233"/>
      <c r="F6" s="233"/>
      <c r="G6" s="233"/>
    </row>
    <row r="7" spans="1:33" ht="40.5" customHeight="1" thickBot="1" x14ac:dyDescent="0.3">
      <c r="A7" s="19"/>
      <c r="B7" s="13">
        <v>1</v>
      </c>
      <c r="C7" s="20">
        <v>2</v>
      </c>
      <c r="D7" s="21">
        <v>3</v>
      </c>
      <c r="E7" s="40" t="s">
        <v>43</v>
      </c>
      <c r="F7" s="15" t="s">
        <v>66</v>
      </c>
      <c r="G7" s="22" t="s">
        <v>62</v>
      </c>
      <c r="H7" s="7"/>
    </row>
    <row r="8" spans="1:33" s="2" customFormat="1" ht="29.25" customHeight="1" x14ac:dyDescent="0.25">
      <c r="A8" s="23">
        <v>1</v>
      </c>
      <c r="B8" s="24" t="s">
        <v>14</v>
      </c>
      <c r="C8" s="18">
        <v>424631.1</v>
      </c>
      <c r="D8" s="131">
        <f>'отнош. расх. на обслуж.'!F8</f>
        <v>492400.11</v>
      </c>
      <c r="E8" s="132">
        <f>C8/D8*100</f>
        <v>86.237003480766887</v>
      </c>
      <c r="F8" s="126">
        <f>(E8-72.59)/(98.73-72.59)</f>
        <v>0.52207358380898561</v>
      </c>
      <c r="G8" s="133">
        <f>F8*0.05</f>
        <v>2.6103679190449283E-2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33.75" customHeight="1" x14ac:dyDescent="0.25">
      <c r="A9" s="25">
        <f t="shared" ref="A9:A15" si="0">A8+1</f>
        <v>2</v>
      </c>
      <c r="B9" s="26" t="s">
        <v>3</v>
      </c>
      <c r="C9" s="18">
        <v>45485.3</v>
      </c>
      <c r="D9" s="131">
        <f>'отнош. расх. на обслуж.'!F9</f>
        <v>51221.99</v>
      </c>
      <c r="E9" s="134">
        <f t="shared" ref="E9:E20" si="1">C9/D9*100</f>
        <v>88.800337511291545</v>
      </c>
      <c r="F9" s="126">
        <f t="shared" ref="F9:F20" si="2">(E9-72.59)/(98.73-72.59)</f>
        <v>0.62013532942966876</v>
      </c>
      <c r="G9" s="133">
        <f t="shared" ref="G9:G19" si="3">F9*0.05</f>
        <v>3.1006766471483441E-2</v>
      </c>
      <c r="H9" s="46"/>
    </row>
    <row r="10" spans="1:33" s="2" customFormat="1" ht="29.25" customHeight="1" x14ac:dyDescent="0.25">
      <c r="A10" s="25">
        <f t="shared" si="0"/>
        <v>3</v>
      </c>
      <c r="B10" s="26" t="s">
        <v>4</v>
      </c>
      <c r="C10" s="18">
        <v>66526.399999999994</v>
      </c>
      <c r="D10" s="131">
        <f>'отнош. расх. на обслуж.'!F10</f>
        <v>73908.34</v>
      </c>
      <c r="E10" s="134">
        <f t="shared" si="1"/>
        <v>90.012033824599484</v>
      </c>
      <c r="F10" s="126">
        <f t="shared" si="2"/>
        <v>0.66648943475897016</v>
      </c>
      <c r="G10" s="133">
        <f t="shared" si="3"/>
        <v>3.3324471737948509E-2</v>
      </c>
      <c r="I10" s="8"/>
      <c r="J10" s="8"/>
    </row>
    <row r="11" spans="1:33" s="2" customFormat="1" ht="28.5" customHeight="1" x14ac:dyDescent="0.25">
      <c r="A11" s="25">
        <f t="shared" si="0"/>
        <v>4</v>
      </c>
      <c r="B11" s="26" t="s">
        <v>5</v>
      </c>
      <c r="C11" s="18">
        <v>140409.60000000001</v>
      </c>
      <c r="D11" s="131">
        <f>'отнош. расх. на обслуж.'!F11</f>
        <v>142215.32</v>
      </c>
      <c r="E11" s="134">
        <f t="shared" si="1"/>
        <v>98.730291504459572</v>
      </c>
      <c r="F11" s="126">
        <f t="shared" si="2"/>
        <v>1.0000111516625696</v>
      </c>
      <c r="G11" s="133">
        <f t="shared" si="3"/>
        <v>5.0000557583128484E-2</v>
      </c>
      <c r="H11" s="29" t="s">
        <v>63</v>
      </c>
    </row>
    <row r="12" spans="1:33" s="2" customFormat="1" ht="28.5" customHeight="1" x14ac:dyDescent="0.25">
      <c r="A12" s="25">
        <f t="shared" si="0"/>
        <v>5</v>
      </c>
      <c r="B12" s="26" t="s">
        <v>6</v>
      </c>
      <c r="C12" s="177">
        <v>64216</v>
      </c>
      <c r="D12" s="131">
        <f>'отнош. расх. на обслуж.'!F12</f>
        <v>66411.26999999999</v>
      </c>
      <c r="E12" s="134">
        <f t="shared" si="1"/>
        <v>96.694431532479371</v>
      </c>
      <c r="F12" s="126">
        <f t="shared" si="2"/>
        <v>0.92212821470846851</v>
      </c>
      <c r="G12" s="133">
        <f t="shared" si="3"/>
        <v>4.6106410735423431E-2</v>
      </c>
    </row>
    <row r="13" spans="1:33" s="2" customFormat="1" ht="27.75" customHeight="1" x14ac:dyDescent="0.25">
      <c r="A13" s="25">
        <f t="shared" si="0"/>
        <v>6</v>
      </c>
      <c r="B13" s="26" t="s">
        <v>7</v>
      </c>
      <c r="C13" s="176">
        <v>73173.3</v>
      </c>
      <c r="D13" s="131">
        <f>'отнош. расх. на обслуж.'!F13</f>
        <v>75107.62999999999</v>
      </c>
      <c r="E13" s="134">
        <f t="shared" si="1"/>
        <v>97.42458921949742</v>
      </c>
      <c r="F13" s="126">
        <f t="shared" si="2"/>
        <v>0.95006079646126307</v>
      </c>
      <c r="G13" s="133">
        <f t="shared" si="3"/>
        <v>4.7503039823063156E-2</v>
      </c>
    </row>
    <row r="14" spans="1:33" s="2" customFormat="1" ht="15.75" x14ac:dyDescent="0.25">
      <c r="A14" s="25">
        <f t="shared" si="0"/>
        <v>7</v>
      </c>
      <c r="B14" s="26" t="s">
        <v>8</v>
      </c>
      <c r="C14" s="18">
        <v>53001.5</v>
      </c>
      <c r="D14" s="131">
        <f>'отнош. расх. на обслуж.'!F14</f>
        <v>68927.990000000005</v>
      </c>
      <c r="E14" s="134">
        <f t="shared" si="1"/>
        <v>76.894016494605452</v>
      </c>
      <c r="F14" s="126">
        <f t="shared" si="2"/>
        <v>0.16465250553196056</v>
      </c>
      <c r="G14" s="133">
        <f t="shared" si="3"/>
        <v>8.2326252765980278E-3</v>
      </c>
    </row>
    <row r="15" spans="1:33" s="2" customFormat="1" ht="22.5" customHeight="1" x14ac:dyDescent="0.25">
      <c r="A15" s="25">
        <f t="shared" si="0"/>
        <v>8</v>
      </c>
      <c r="B15" s="26" t="s">
        <v>9</v>
      </c>
      <c r="C15" s="18">
        <v>62740</v>
      </c>
      <c r="D15" s="131">
        <f>'отнош. расх. на обслуж.'!F15</f>
        <v>65811.539999999994</v>
      </c>
      <c r="E15" s="134">
        <f t="shared" si="1"/>
        <v>95.3328246079639</v>
      </c>
      <c r="F15" s="126">
        <f t="shared" si="2"/>
        <v>0.87003919693817511</v>
      </c>
      <c r="G15" s="133">
        <f t="shared" si="3"/>
        <v>4.3501959846908758E-2</v>
      </c>
    </row>
    <row r="16" spans="1:33" s="2" customFormat="1" ht="24.75" customHeight="1" x14ac:dyDescent="0.25">
      <c r="A16" s="25">
        <v>9</v>
      </c>
      <c r="B16" s="26" t="s">
        <v>10</v>
      </c>
      <c r="C16" s="18">
        <v>65381.2</v>
      </c>
      <c r="D16" s="131">
        <f>'отнош. расх. на обслуж.'!F16</f>
        <v>67908.47</v>
      </c>
      <c r="E16" s="134">
        <f t="shared" si="1"/>
        <v>96.278417110560724</v>
      </c>
      <c r="F16" s="126">
        <f t="shared" si="2"/>
        <v>0.90621335541548276</v>
      </c>
      <c r="G16" s="133">
        <f t="shared" si="3"/>
        <v>4.5310667770774138E-2</v>
      </c>
    </row>
    <row r="17" spans="1:8" s="2" customFormat="1" ht="30.75" customHeight="1" x14ac:dyDescent="0.25">
      <c r="A17" s="25">
        <v>10</v>
      </c>
      <c r="B17" s="26" t="s">
        <v>11</v>
      </c>
      <c r="C17" s="18">
        <v>73190.600000000006</v>
      </c>
      <c r="D17" s="131">
        <f>'отнош. расх. на обслуж.'!F17</f>
        <v>76577.740000000005</v>
      </c>
      <c r="E17" s="134">
        <f t="shared" si="1"/>
        <v>95.576860847551785</v>
      </c>
      <c r="F17" s="126">
        <f t="shared" si="2"/>
        <v>0.87937493678468936</v>
      </c>
      <c r="G17" s="133">
        <f t="shared" si="3"/>
        <v>4.396874683923447E-2</v>
      </c>
      <c r="H17" s="29"/>
    </row>
    <row r="18" spans="1:8" s="2" customFormat="1" ht="28.5" customHeight="1" x14ac:dyDescent="0.25">
      <c r="A18" s="25">
        <v>11</v>
      </c>
      <c r="B18" s="26" t="s">
        <v>12</v>
      </c>
      <c r="C18" s="18">
        <v>300868</v>
      </c>
      <c r="D18" s="131">
        <f>'отнош. расх. на обслуж.'!F18</f>
        <v>414478.44999999995</v>
      </c>
      <c r="E18" s="134">
        <f t="shared" si="1"/>
        <v>72.589539938686812</v>
      </c>
      <c r="F18" s="126">
        <f t="shared" si="2"/>
        <v>-1.7599897214664033E-5</v>
      </c>
      <c r="G18" s="133">
        <f t="shared" si="3"/>
        <v>-8.7999486073320171E-7</v>
      </c>
      <c r="H18" s="2" t="s">
        <v>58</v>
      </c>
    </row>
    <row r="19" spans="1:8" s="2" customFormat="1" ht="22.5" customHeight="1" thickBot="1" x14ac:dyDescent="0.3">
      <c r="A19" s="25">
        <v>12</v>
      </c>
      <c r="B19" s="27" t="s">
        <v>13</v>
      </c>
      <c r="C19" s="32">
        <v>58321.8</v>
      </c>
      <c r="D19" s="175">
        <f>'отнош. расх. на обслуж.'!F19</f>
        <v>60088.76</v>
      </c>
      <c r="E19" s="135">
        <f t="shared" si="1"/>
        <v>97.059416769459048</v>
      </c>
      <c r="F19" s="126">
        <f t="shared" si="2"/>
        <v>0.93609092461587773</v>
      </c>
      <c r="G19" s="133">
        <f t="shared" si="3"/>
        <v>4.6804546230793886E-2</v>
      </c>
    </row>
    <row r="20" spans="1:8" s="2" customFormat="1" ht="30.75" customHeight="1" thickBot="1" x14ac:dyDescent="0.3">
      <c r="A20" s="31"/>
      <c r="B20" s="33" t="s">
        <v>2</v>
      </c>
      <c r="C20" s="35">
        <f>SUM(C8:C19)</f>
        <v>1427944.8</v>
      </c>
      <c r="D20" s="65">
        <f>'отнош. расх. на обслуж.'!F20</f>
        <v>1655057.61</v>
      </c>
      <c r="E20" s="52">
        <f t="shared" si="1"/>
        <v>86.277649271677021</v>
      </c>
      <c r="F20" s="255">
        <f t="shared" si="2"/>
        <v>0.52362851077570838</v>
      </c>
      <c r="G20" s="66">
        <f>F20*0.05</f>
        <v>2.618142553878542E-2</v>
      </c>
    </row>
    <row r="21" spans="1:8" ht="15.75" x14ac:dyDescent="0.25">
      <c r="A21" s="17"/>
      <c r="B21" s="17"/>
      <c r="C21" s="17"/>
      <c r="D21" s="6"/>
      <c r="E21" s="17"/>
    </row>
    <row r="22" spans="1:8" ht="18.75" x14ac:dyDescent="0.3">
      <c r="A22" s="230" t="s">
        <v>127</v>
      </c>
      <c r="B22" s="230"/>
      <c r="C22" s="230"/>
      <c r="D22" s="230"/>
      <c r="E22" s="230"/>
      <c r="F22" s="219" t="s">
        <v>124</v>
      </c>
      <c r="G22" s="219"/>
    </row>
    <row r="23" spans="1:8" ht="15.75" x14ac:dyDescent="0.25">
      <c r="A23" s="17"/>
      <c r="B23" s="17"/>
      <c r="C23" s="17"/>
      <c r="D23" s="6"/>
      <c r="E23" s="17"/>
    </row>
    <row r="24" spans="1:8" ht="15.75" x14ac:dyDescent="0.25">
      <c r="A24" s="17"/>
      <c r="B24" s="17"/>
      <c r="C24" s="17"/>
      <c r="D24" s="6"/>
      <c r="E24" s="17"/>
    </row>
    <row r="25" spans="1:8" ht="15.75" x14ac:dyDescent="0.25">
      <c r="A25" s="17"/>
      <c r="B25" s="5"/>
      <c r="C25" s="17"/>
      <c r="D25" s="6"/>
      <c r="E25" s="17"/>
    </row>
    <row r="26" spans="1:8" ht="18.75" x14ac:dyDescent="0.3">
      <c r="A26" s="4"/>
      <c r="B26" s="4"/>
      <c r="C26" s="4"/>
      <c r="D26" s="10"/>
      <c r="E26" s="4"/>
    </row>
    <row r="27" spans="1:8" ht="18.75" x14ac:dyDescent="0.3">
      <c r="A27" s="4"/>
      <c r="B27" s="4"/>
      <c r="C27" s="4"/>
      <c r="D27" s="10"/>
      <c r="E27" s="4"/>
    </row>
    <row r="28" spans="1:8" ht="18.75" x14ac:dyDescent="0.3">
      <c r="A28" s="4"/>
      <c r="B28" s="4"/>
      <c r="C28" s="4"/>
      <c r="D28" s="10"/>
      <c r="E28" s="4"/>
    </row>
    <row r="29" spans="1:8" ht="18.75" x14ac:dyDescent="0.3">
      <c r="A29" s="4"/>
      <c r="B29" s="4"/>
      <c r="C29" s="4"/>
      <c r="D29" s="10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19.140625" style="1" customWidth="1"/>
    <col min="4" max="4" width="27.42578125" style="39" customWidth="1"/>
    <col min="5" max="5" width="40.85546875" style="1" customWidth="1"/>
    <col min="6" max="6" width="19.5703125" style="1" customWidth="1"/>
    <col min="7" max="7" width="20.28515625" style="1" customWidth="1"/>
    <col min="8" max="16384" width="9.140625" style="1"/>
  </cols>
  <sheetData>
    <row r="1" spans="1:33" ht="62.25" customHeight="1" thickBot="1" x14ac:dyDescent="0.25">
      <c r="A1" s="234" t="s">
        <v>46</v>
      </c>
      <c r="B1" s="234"/>
      <c r="C1" s="234"/>
      <c r="D1" s="234"/>
      <c r="E1" s="234"/>
      <c r="F1" s="234"/>
      <c r="G1" s="234"/>
    </row>
    <row r="2" spans="1:33" ht="12.75" customHeight="1" x14ac:dyDescent="0.2">
      <c r="A2" s="236"/>
      <c r="B2" s="239" t="s">
        <v>19</v>
      </c>
      <c r="C2" s="235" t="s">
        <v>47</v>
      </c>
      <c r="D2" s="235" t="s">
        <v>48</v>
      </c>
      <c r="E2" s="231" t="s">
        <v>46</v>
      </c>
      <c r="F2" s="231" t="s">
        <v>59</v>
      </c>
      <c r="G2" s="231" t="s">
        <v>61</v>
      </c>
    </row>
    <row r="3" spans="1:33" ht="12.75" customHeight="1" x14ac:dyDescent="0.2">
      <c r="A3" s="237"/>
      <c r="B3" s="227" t="s">
        <v>0</v>
      </c>
      <c r="C3" s="221"/>
      <c r="D3" s="221"/>
      <c r="E3" s="232"/>
      <c r="F3" s="232"/>
      <c r="G3" s="232"/>
    </row>
    <row r="4" spans="1:33" ht="15.75" customHeight="1" x14ac:dyDescent="0.2">
      <c r="A4" s="237"/>
      <c r="B4" s="227" t="s">
        <v>1</v>
      </c>
      <c r="C4" s="221"/>
      <c r="D4" s="221"/>
      <c r="E4" s="232"/>
      <c r="F4" s="232"/>
      <c r="G4" s="232"/>
    </row>
    <row r="5" spans="1:33" ht="16.5" customHeight="1" x14ac:dyDescent="0.2">
      <c r="A5" s="237"/>
      <c r="B5" s="227"/>
      <c r="C5" s="221"/>
      <c r="D5" s="221"/>
      <c r="E5" s="232"/>
      <c r="F5" s="232"/>
      <c r="G5" s="232"/>
    </row>
    <row r="6" spans="1:33" ht="123" customHeight="1" x14ac:dyDescent="0.2">
      <c r="A6" s="238"/>
      <c r="B6" s="227"/>
      <c r="C6" s="222"/>
      <c r="D6" s="222"/>
      <c r="E6" s="233"/>
      <c r="F6" s="233"/>
      <c r="G6" s="233"/>
    </row>
    <row r="7" spans="1:33" ht="35.25" customHeight="1" x14ac:dyDescent="0.25">
      <c r="A7" s="19"/>
      <c r="B7" s="13">
        <v>1</v>
      </c>
      <c r="C7" s="20">
        <v>2</v>
      </c>
      <c r="D7" s="21">
        <v>3</v>
      </c>
      <c r="E7" s="22" t="s">
        <v>43</v>
      </c>
      <c r="F7" s="15" t="s">
        <v>66</v>
      </c>
      <c r="G7" s="22" t="s">
        <v>62</v>
      </c>
      <c r="H7" s="7"/>
    </row>
    <row r="8" spans="1:33" s="2" customFormat="1" ht="35.25" customHeight="1" x14ac:dyDescent="0.25">
      <c r="A8" s="23">
        <v>1</v>
      </c>
      <c r="B8" s="24" t="s">
        <v>14</v>
      </c>
      <c r="C8" s="18">
        <v>158514</v>
      </c>
      <c r="D8" s="12">
        <f>'отнош. расх. на обслуж.'!F8-'отнош. расх. на обслуж.'!C8</f>
        <v>492390.51</v>
      </c>
      <c r="E8" s="123">
        <f>C8/D8*100</f>
        <v>32.192740676500854</v>
      </c>
      <c r="F8" s="133">
        <f>(E8-$E$19)/($E$17-$E$19)</f>
        <v>0.74755091667717333</v>
      </c>
      <c r="G8" s="133">
        <f>F8*0.05</f>
        <v>3.7377545833858668E-2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33.75" customHeight="1" x14ac:dyDescent="0.25">
      <c r="A9" s="25">
        <f t="shared" ref="A9:A15" si="0">A8+1</f>
        <v>2</v>
      </c>
      <c r="B9" s="26" t="s">
        <v>3</v>
      </c>
      <c r="C9" s="18">
        <v>6693.7</v>
      </c>
      <c r="D9" s="12">
        <f>'отнош. расх. на обслуж.'!F9-'отнош. расх. на обслуж.'!C9</f>
        <v>51221.59</v>
      </c>
      <c r="E9" s="123">
        <f t="shared" ref="E9:E20" si="1">C9/D9*100</f>
        <v>13.068122250793074</v>
      </c>
      <c r="F9" s="133">
        <f t="shared" ref="F9:F19" si="2">(E9-$E$19)/($E$17-$E$19)</f>
        <v>0.11616377052796287</v>
      </c>
      <c r="G9" s="133">
        <f t="shared" ref="G9:G19" si="3">F9*0.05</f>
        <v>5.8081885263981435E-3</v>
      </c>
    </row>
    <row r="10" spans="1:33" s="2" customFormat="1" ht="29.25" customHeight="1" x14ac:dyDescent="0.25">
      <c r="A10" s="25">
        <f t="shared" si="0"/>
        <v>3</v>
      </c>
      <c r="B10" s="26" t="s">
        <v>4</v>
      </c>
      <c r="C10" s="18">
        <v>16281.2</v>
      </c>
      <c r="D10" s="12">
        <f>'отнош. расх. на обслуж.'!F10-'отнош. расх. на обслуж.'!C10</f>
        <v>73908.34</v>
      </c>
      <c r="E10" s="123">
        <f t="shared" si="1"/>
        <v>22.02890769837342</v>
      </c>
      <c r="F10" s="133">
        <f t="shared" si="2"/>
        <v>0.41199841805211307</v>
      </c>
      <c r="G10" s="133">
        <f t="shared" si="3"/>
        <v>2.0599920902605654E-2</v>
      </c>
      <c r="I10" s="8"/>
      <c r="J10" s="8"/>
    </row>
    <row r="11" spans="1:33" s="2" customFormat="1" ht="28.5" customHeight="1" x14ac:dyDescent="0.25">
      <c r="A11" s="25">
        <f t="shared" si="0"/>
        <v>4</v>
      </c>
      <c r="B11" s="26" t="s">
        <v>5</v>
      </c>
      <c r="C11" s="18">
        <v>26881.599999999999</v>
      </c>
      <c r="D11" s="12">
        <f>'отнош. расх. на обслуж.'!F11-'отнош. расх. на обслуж.'!C11</f>
        <v>142215.32</v>
      </c>
      <c r="E11" s="123">
        <f t="shared" si="1"/>
        <v>18.902042339742298</v>
      </c>
      <c r="F11" s="133">
        <f t="shared" si="2"/>
        <v>0.3087669416779189</v>
      </c>
      <c r="G11" s="133">
        <f t="shared" si="3"/>
        <v>1.5438347083895946E-2</v>
      </c>
    </row>
    <row r="12" spans="1:33" s="2" customFormat="1" ht="28.5" customHeight="1" x14ac:dyDescent="0.25">
      <c r="A12" s="25">
        <f t="shared" si="0"/>
        <v>5</v>
      </c>
      <c r="B12" s="26" t="s">
        <v>6</v>
      </c>
      <c r="C12" s="177">
        <v>16161.89</v>
      </c>
      <c r="D12" s="12">
        <f>'отнош. расх. на обслуж.'!F12-'отнош. расх. на обслуж.'!C12</f>
        <v>66411.26999999999</v>
      </c>
      <c r="E12" s="123">
        <f t="shared" si="1"/>
        <v>24.336065249166296</v>
      </c>
      <c r="F12" s="133">
        <f t="shared" si="2"/>
        <v>0.48816776110962323</v>
      </c>
      <c r="G12" s="133">
        <f t="shared" si="3"/>
        <v>2.4408388055481164E-2</v>
      </c>
    </row>
    <row r="13" spans="1:33" s="2" customFormat="1" ht="27.75" customHeight="1" x14ac:dyDescent="0.25">
      <c r="A13" s="25">
        <f t="shared" si="0"/>
        <v>6</v>
      </c>
      <c r="B13" s="26" t="s">
        <v>7</v>
      </c>
      <c r="C13" s="18">
        <v>13055.6</v>
      </c>
      <c r="D13" s="12">
        <f>'отнош. расх. на обслуж.'!F13-'отнош. расх. на обслуж.'!C13</f>
        <v>75106.829999999987</v>
      </c>
      <c r="E13" s="123">
        <f t="shared" si="1"/>
        <v>17.382706739187373</v>
      </c>
      <c r="F13" s="133">
        <f t="shared" si="2"/>
        <v>0.25860704057433553</v>
      </c>
      <c r="G13" s="133">
        <f t="shared" si="3"/>
        <v>1.2930352028716778E-2</v>
      </c>
    </row>
    <row r="14" spans="1:33" s="2" customFormat="1" ht="15.75" x14ac:dyDescent="0.25">
      <c r="A14" s="25">
        <f t="shared" si="0"/>
        <v>7</v>
      </c>
      <c r="B14" s="26" t="s">
        <v>8</v>
      </c>
      <c r="C14" s="18">
        <v>9234</v>
      </c>
      <c r="D14" s="12">
        <f>'отнош. расх. на обслуж.'!F14-'отнош. расх. на обслуж.'!C14</f>
        <v>68924.490000000005</v>
      </c>
      <c r="E14" s="123">
        <f t="shared" si="1"/>
        <v>13.397269968918158</v>
      </c>
      <c r="F14" s="133">
        <f t="shared" si="2"/>
        <v>0.12703037365606318</v>
      </c>
      <c r="G14" s="133">
        <f t="shared" si="3"/>
        <v>6.3515186828031591E-3</v>
      </c>
    </row>
    <row r="15" spans="1:33" s="2" customFormat="1" ht="22.5" customHeight="1" x14ac:dyDescent="0.25">
      <c r="A15" s="25">
        <f t="shared" si="0"/>
        <v>8</v>
      </c>
      <c r="B15" s="26" t="s">
        <v>9</v>
      </c>
      <c r="C15" s="18">
        <v>13819.5</v>
      </c>
      <c r="D15" s="12">
        <f>'отнош. расх. на обслуж.'!F15-'отнош. расх. на обслуж.'!C15</f>
        <v>65810.34</v>
      </c>
      <c r="E15" s="123">
        <f t="shared" si="1"/>
        <v>20.998979795576197</v>
      </c>
      <c r="F15" s="133">
        <f t="shared" si="2"/>
        <v>0.37799600164769198</v>
      </c>
      <c r="G15" s="133">
        <f t="shared" si="3"/>
        <v>1.88998000823846E-2</v>
      </c>
    </row>
    <row r="16" spans="1:33" s="2" customFormat="1" ht="24.75" customHeight="1" x14ac:dyDescent="0.25">
      <c r="A16" s="25">
        <v>9</v>
      </c>
      <c r="B16" s="26" t="s">
        <v>10</v>
      </c>
      <c r="C16" s="18">
        <v>19153</v>
      </c>
      <c r="D16" s="12">
        <f>'отнош. расх. на обслуж.'!F16-'отнош. расх. на обслуж.'!C16</f>
        <v>67908.47</v>
      </c>
      <c r="E16" s="123">
        <f t="shared" si="1"/>
        <v>28.204140072659566</v>
      </c>
      <c r="F16" s="133">
        <f>(E16-$E$19)/($E$17-$E$19)</f>
        <v>0.61586979780040974</v>
      </c>
      <c r="G16" s="133">
        <f t="shared" si="3"/>
        <v>3.0793489890020488E-2</v>
      </c>
    </row>
    <row r="17" spans="1:8" s="2" customFormat="1" ht="30.75" customHeight="1" x14ac:dyDescent="0.25">
      <c r="A17" s="25">
        <v>10</v>
      </c>
      <c r="B17" s="26" t="s">
        <v>11</v>
      </c>
      <c r="C17" s="18">
        <v>30508.1</v>
      </c>
      <c r="D17" s="12">
        <f>'отнош. расх. на обслуж.'!F17</f>
        <v>76577.740000000005</v>
      </c>
      <c r="E17" s="123">
        <f t="shared" si="1"/>
        <v>39.839384134345039</v>
      </c>
      <c r="F17" s="133">
        <f t="shared" si="2"/>
        <v>1</v>
      </c>
      <c r="G17" s="133">
        <f t="shared" si="3"/>
        <v>0.05</v>
      </c>
      <c r="H17" s="2" t="s">
        <v>63</v>
      </c>
    </row>
    <row r="18" spans="1:8" s="2" customFormat="1" ht="28.5" customHeight="1" x14ac:dyDescent="0.25">
      <c r="A18" s="25">
        <v>11</v>
      </c>
      <c r="B18" s="26" t="s">
        <v>12</v>
      </c>
      <c r="C18" s="18">
        <v>79091.600000000006</v>
      </c>
      <c r="D18" s="12">
        <f>'отнош. расх. на обслуж.'!F18-'отнош. расх. на обслуж.'!C18</f>
        <v>414478.44999999995</v>
      </c>
      <c r="E18" s="123">
        <f t="shared" si="1"/>
        <v>19.082198362785814</v>
      </c>
      <c r="F18" s="133">
        <f t="shared" si="2"/>
        <v>0.31471467850168389</v>
      </c>
      <c r="G18" s="133">
        <f t="shared" si="3"/>
        <v>1.5735733925084195E-2</v>
      </c>
    </row>
    <row r="19" spans="1:8" s="2" customFormat="1" ht="22.5" customHeight="1" thickBot="1" x14ac:dyDescent="0.3">
      <c r="A19" s="25">
        <v>12</v>
      </c>
      <c r="B19" s="27" t="s">
        <v>13</v>
      </c>
      <c r="C19" s="32">
        <v>5738.2</v>
      </c>
      <c r="D19" s="12">
        <f>'отнош. расх. на обслуж.'!F19</f>
        <v>60088.76</v>
      </c>
      <c r="E19" s="124">
        <f t="shared" si="1"/>
        <v>9.5495397142493861</v>
      </c>
      <c r="F19" s="133">
        <f t="shared" si="2"/>
        <v>0</v>
      </c>
      <c r="G19" s="138">
        <f t="shared" si="3"/>
        <v>0</v>
      </c>
      <c r="H19" s="2" t="s">
        <v>58</v>
      </c>
    </row>
    <row r="20" spans="1:8" s="2" customFormat="1" ht="30.75" customHeight="1" thickBot="1" x14ac:dyDescent="0.3">
      <c r="A20" s="31"/>
      <c r="B20" s="33" t="s">
        <v>2</v>
      </c>
      <c r="C20" s="34">
        <f>SUM(C8:C19)</f>
        <v>395132.38999999996</v>
      </c>
      <c r="D20" s="34">
        <f>SUM(D8:D19)</f>
        <v>1655042.1099999999</v>
      </c>
      <c r="E20" s="69">
        <f t="shared" si="1"/>
        <v>23.874461417782296</v>
      </c>
      <c r="F20" s="256">
        <f t="shared" ref="F10:F20" si="4">(E20-9.55)/(38.839-9.55)</f>
        <v>0.48907307923733473</v>
      </c>
      <c r="G20" s="217">
        <f>F20*0.05</f>
        <v>2.4453653961866738E-2</v>
      </c>
    </row>
    <row r="21" spans="1:8" ht="15.75" x14ac:dyDescent="0.25">
      <c r="A21" s="17"/>
      <c r="B21" s="17"/>
      <c r="C21" s="17"/>
      <c r="D21" s="6"/>
      <c r="E21" s="17"/>
      <c r="F21" s="7"/>
      <c r="G21" s="7"/>
    </row>
    <row r="22" spans="1:8" ht="18.75" x14ac:dyDescent="0.3">
      <c r="A22" s="230" t="s">
        <v>130</v>
      </c>
      <c r="B22" s="230"/>
      <c r="C22" s="230"/>
      <c r="D22" s="230"/>
      <c r="E22" s="230"/>
      <c r="F22" s="219" t="s">
        <v>124</v>
      </c>
      <c r="G22" s="219"/>
    </row>
    <row r="23" spans="1:8" ht="15.75" x14ac:dyDescent="0.25">
      <c r="A23" s="17"/>
      <c r="B23" s="17"/>
      <c r="C23" s="17"/>
      <c r="D23" s="6"/>
      <c r="E23" s="17"/>
    </row>
    <row r="24" spans="1:8" ht="15.75" x14ac:dyDescent="0.25">
      <c r="A24" s="17"/>
      <c r="B24" s="17"/>
      <c r="C24" s="17"/>
      <c r="D24" s="6"/>
      <c r="E24" s="17"/>
    </row>
    <row r="25" spans="1:8" ht="15.75" x14ac:dyDescent="0.25">
      <c r="A25" s="17"/>
      <c r="B25" s="5"/>
      <c r="C25" s="17"/>
      <c r="D25" s="6"/>
      <c r="E25" s="17"/>
    </row>
    <row r="26" spans="1:8" ht="18.75" x14ac:dyDescent="0.3">
      <c r="A26" s="4"/>
      <c r="B26" s="4"/>
      <c r="C26" s="4"/>
      <c r="D26" s="10"/>
      <c r="E26" s="4"/>
    </row>
    <row r="27" spans="1:8" ht="18.75" x14ac:dyDescent="0.3">
      <c r="A27" s="4"/>
      <c r="B27" s="4"/>
      <c r="C27" s="4"/>
      <c r="D27" s="10"/>
      <c r="E27" s="4"/>
    </row>
    <row r="28" spans="1:8" ht="18.75" x14ac:dyDescent="0.3">
      <c r="A28" s="4"/>
      <c r="B28" s="4"/>
      <c r="C28" s="4"/>
      <c r="D28" s="10"/>
      <c r="E28" s="4"/>
    </row>
    <row r="29" spans="1:8" ht="18.75" x14ac:dyDescent="0.3">
      <c r="A29" s="4"/>
      <c r="B29" s="4"/>
      <c r="C29" s="4"/>
      <c r="D29" s="10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4" sqref="G14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27.85546875" style="1" customWidth="1"/>
    <col min="4" max="4" width="23.7109375" style="39" customWidth="1"/>
    <col min="5" max="5" width="34.42578125" style="1" customWidth="1"/>
    <col min="6" max="6" width="21.5703125" style="1" customWidth="1"/>
    <col min="7" max="7" width="22.42578125" style="1" customWidth="1"/>
    <col min="8" max="16384" width="9.140625" style="1"/>
  </cols>
  <sheetData>
    <row r="1" spans="1:33" ht="45.75" customHeight="1" thickBot="1" x14ac:dyDescent="0.25">
      <c r="A1" s="234" t="s">
        <v>53</v>
      </c>
      <c r="B1" s="234"/>
      <c r="C1" s="234"/>
      <c r="D1" s="234"/>
      <c r="E1" s="234"/>
      <c r="F1" s="234"/>
      <c r="G1" s="234"/>
    </row>
    <row r="2" spans="1:33" ht="12.75" customHeight="1" x14ac:dyDescent="0.2">
      <c r="A2" s="236"/>
      <c r="B2" s="239" t="s">
        <v>19</v>
      </c>
      <c r="C2" s="235" t="s">
        <v>54</v>
      </c>
      <c r="D2" s="235" t="s">
        <v>52</v>
      </c>
      <c r="E2" s="231" t="s">
        <v>51</v>
      </c>
      <c r="F2" s="231" t="s">
        <v>59</v>
      </c>
      <c r="G2" s="231" t="s">
        <v>61</v>
      </c>
    </row>
    <row r="3" spans="1:33" ht="12.75" customHeight="1" x14ac:dyDescent="0.2">
      <c r="A3" s="237"/>
      <c r="B3" s="227" t="s">
        <v>0</v>
      </c>
      <c r="C3" s="221"/>
      <c r="D3" s="221"/>
      <c r="E3" s="232"/>
      <c r="F3" s="232"/>
      <c r="G3" s="232"/>
    </row>
    <row r="4" spans="1:33" ht="15.75" customHeight="1" x14ac:dyDescent="0.2">
      <c r="A4" s="237"/>
      <c r="B4" s="227" t="s">
        <v>1</v>
      </c>
      <c r="C4" s="221"/>
      <c r="D4" s="221"/>
      <c r="E4" s="232"/>
      <c r="F4" s="232"/>
      <c r="G4" s="232"/>
    </row>
    <row r="5" spans="1:33" ht="16.5" customHeight="1" x14ac:dyDescent="0.2">
      <c r="A5" s="237"/>
      <c r="B5" s="227"/>
      <c r="C5" s="221"/>
      <c r="D5" s="221"/>
      <c r="E5" s="232"/>
      <c r="F5" s="232"/>
      <c r="G5" s="232"/>
    </row>
    <row r="6" spans="1:33" ht="79.5" customHeight="1" x14ac:dyDescent="0.2">
      <c r="A6" s="238"/>
      <c r="B6" s="227"/>
      <c r="C6" s="222"/>
      <c r="D6" s="222"/>
      <c r="E6" s="233"/>
      <c r="F6" s="233"/>
      <c r="G6" s="233"/>
    </row>
    <row r="7" spans="1:33" ht="45" customHeight="1" x14ac:dyDescent="0.25">
      <c r="A7" s="19"/>
      <c r="B7" s="13">
        <v>1</v>
      </c>
      <c r="C7" s="20">
        <v>2</v>
      </c>
      <c r="D7" s="21">
        <v>3</v>
      </c>
      <c r="E7" s="22" t="s">
        <v>43</v>
      </c>
      <c r="F7" s="15" t="s">
        <v>60</v>
      </c>
      <c r="G7" s="22" t="s">
        <v>62</v>
      </c>
      <c r="H7" s="7"/>
    </row>
    <row r="8" spans="1:33" s="2" customFormat="1" ht="24.75" customHeight="1" x14ac:dyDescent="0.25">
      <c r="A8" s="23">
        <v>1</v>
      </c>
      <c r="B8" s="24" t="s">
        <v>14</v>
      </c>
      <c r="C8" s="177">
        <v>25191.1</v>
      </c>
      <c r="D8" s="12">
        <f>программы!D8</f>
        <v>492400.11</v>
      </c>
      <c r="E8" s="123">
        <f>C8/D8*100</f>
        <v>5.1159817978107274</v>
      </c>
      <c r="F8" s="138">
        <f>($E$14-E8)/($E$14-$E$18)</f>
        <v>0.74098632383314977</v>
      </c>
      <c r="G8" s="133">
        <f>F8*0.05</f>
        <v>3.7049316191657487E-2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33.75" customHeight="1" x14ac:dyDescent="0.25">
      <c r="A9" s="25">
        <f t="shared" ref="A9:A15" si="0">A8+1</f>
        <v>2</v>
      </c>
      <c r="B9" s="26" t="s">
        <v>3</v>
      </c>
      <c r="C9" s="177">
        <v>6432</v>
      </c>
      <c r="D9" s="12">
        <f>программы!D9</f>
        <v>51221.99</v>
      </c>
      <c r="E9" s="123">
        <f t="shared" ref="E9:E19" si="1">C9/D9*100</f>
        <v>12.557106820722897</v>
      </c>
      <c r="F9" s="138">
        <f t="shared" ref="F9:F19" si="2">($E$14-E9)/($E$14-$E$18)</f>
        <v>0.1062479163143548</v>
      </c>
      <c r="G9" s="133">
        <f t="shared" ref="G9:G19" si="3">F9*0.05</f>
        <v>5.3123958157177409E-3</v>
      </c>
    </row>
    <row r="10" spans="1:33" s="2" customFormat="1" ht="29.25" customHeight="1" x14ac:dyDescent="0.25">
      <c r="A10" s="25">
        <f t="shared" si="0"/>
        <v>3</v>
      </c>
      <c r="B10" s="26" t="s">
        <v>4</v>
      </c>
      <c r="C10" s="177">
        <v>6367.2</v>
      </c>
      <c r="D10" s="12">
        <f>программы!D10</f>
        <v>73908.34</v>
      </c>
      <c r="E10" s="123">
        <f t="shared" si="1"/>
        <v>8.6149952765817766</v>
      </c>
      <c r="F10" s="138">
        <f t="shared" si="2"/>
        <v>0.44251556348934129</v>
      </c>
      <c r="G10" s="133">
        <f t="shared" si="3"/>
        <v>2.2125778174467065E-2</v>
      </c>
      <c r="H10" s="8"/>
      <c r="I10" s="8"/>
      <c r="J10" s="8"/>
    </row>
    <row r="11" spans="1:33" s="2" customFormat="1" ht="28.5" customHeight="1" x14ac:dyDescent="0.25">
      <c r="A11" s="25">
        <f t="shared" si="0"/>
        <v>4</v>
      </c>
      <c r="B11" s="26" t="s">
        <v>5</v>
      </c>
      <c r="C11" s="177">
        <v>6689.6</v>
      </c>
      <c r="D11" s="12">
        <f>программы!D11</f>
        <v>142215.32</v>
      </c>
      <c r="E11" s="123">
        <f t="shared" si="1"/>
        <v>4.7038532838796829</v>
      </c>
      <c r="F11" s="138">
        <f t="shared" si="2"/>
        <v>0.77614146446312149</v>
      </c>
      <c r="G11" s="133">
        <f t="shared" si="3"/>
        <v>3.8807073223156074E-2</v>
      </c>
    </row>
    <row r="12" spans="1:33" s="2" customFormat="1" ht="28.5" customHeight="1" x14ac:dyDescent="0.25">
      <c r="A12" s="25">
        <f t="shared" si="0"/>
        <v>5</v>
      </c>
      <c r="B12" s="26" t="s">
        <v>6</v>
      </c>
      <c r="C12" s="177">
        <v>6991.1</v>
      </c>
      <c r="D12" s="12">
        <f>программы!D12</f>
        <v>66411.26999999999</v>
      </c>
      <c r="E12" s="123">
        <f t="shared" si="1"/>
        <v>10.526978327624214</v>
      </c>
      <c r="F12" s="138">
        <f t="shared" si="2"/>
        <v>0.27942072590970823</v>
      </c>
      <c r="G12" s="133">
        <f t="shared" si="3"/>
        <v>1.3971036295485413E-2</v>
      </c>
    </row>
    <row r="13" spans="1:33" s="2" customFormat="1" ht="27.75" customHeight="1" x14ac:dyDescent="0.25">
      <c r="A13" s="25">
        <f t="shared" si="0"/>
        <v>6</v>
      </c>
      <c r="B13" s="26" t="s">
        <v>7</v>
      </c>
      <c r="C13" s="177">
        <v>6840.5</v>
      </c>
      <c r="D13" s="12">
        <f>программы!D13</f>
        <v>75107.62999999999</v>
      </c>
      <c r="E13" s="123">
        <f t="shared" si="1"/>
        <v>9.1075966582889141</v>
      </c>
      <c r="F13" s="138">
        <f t="shared" si="2"/>
        <v>0.40049597430039652</v>
      </c>
      <c r="G13" s="133">
        <f t="shared" si="3"/>
        <v>2.0024798715019828E-2</v>
      </c>
    </row>
    <row r="14" spans="1:33" s="2" customFormat="1" ht="15.75" x14ac:dyDescent="0.25">
      <c r="A14" s="25">
        <f t="shared" si="0"/>
        <v>7</v>
      </c>
      <c r="B14" s="26" t="s">
        <v>8</v>
      </c>
      <c r="C14" s="177">
        <v>9513.9</v>
      </c>
      <c r="D14" s="12">
        <f>программы!D14</f>
        <v>68927.990000000005</v>
      </c>
      <c r="E14" s="123">
        <f t="shared" si="1"/>
        <v>13.802665651500934</v>
      </c>
      <c r="F14" s="138">
        <f t="shared" si="2"/>
        <v>0</v>
      </c>
      <c r="G14" s="133">
        <f t="shared" si="3"/>
        <v>0</v>
      </c>
      <c r="H14" s="2" t="s">
        <v>63</v>
      </c>
    </row>
    <row r="15" spans="1:33" s="2" customFormat="1" ht="22.5" customHeight="1" x14ac:dyDescent="0.25">
      <c r="A15" s="25">
        <f t="shared" si="0"/>
        <v>8</v>
      </c>
      <c r="B15" s="26" t="s">
        <v>9</v>
      </c>
      <c r="C15" s="177">
        <v>6413.5</v>
      </c>
      <c r="D15" s="12">
        <f>программы!D15</f>
        <v>65811.539999999994</v>
      </c>
      <c r="E15" s="123">
        <f t="shared" si="1"/>
        <v>9.7452513647302599</v>
      </c>
      <c r="F15" s="138">
        <f t="shared" si="2"/>
        <v>0.34610313294009326</v>
      </c>
      <c r="G15" s="133">
        <f t="shared" si="3"/>
        <v>1.7305156647004664E-2</v>
      </c>
    </row>
    <row r="16" spans="1:33" s="2" customFormat="1" ht="24.75" customHeight="1" x14ac:dyDescent="0.25">
      <c r="A16" s="25">
        <v>9</v>
      </c>
      <c r="B16" s="26" t="s">
        <v>10</v>
      </c>
      <c r="C16" s="177">
        <v>5661</v>
      </c>
      <c r="D16" s="12">
        <f>программы!D16</f>
        <v>67908.47</v>
      </c>
      <c r="E16" s="123">
        <f t="shared" si="1"/>
        <v>8.33622079837758</v>
      </c>
      <c r="F16" s="138">
        <f t="shared" si="2"/>
        <v>0.4662954177193625</v>
      </c>
      <c r="G16" s="133">
        <f t="shared" si="3"/>
        <v>2.3314770885968127E-2</v>
      </c>
    </row>
    <row r="17" spans="1:8" s="2" customFormat="1" ht="30.75" customHeight="1" x14ac:dyDescent="0.25">
      <c r="A17" s="25">
        <v>10</v>
      </c>
      <c r="B17" s="26" t="s">
        <v>11</v>
      </c>
      <c r="C17" s="177">
        <v>8471.2000000000007</v>
      </c>
      <c r="D17" s="12">
        <f>программы!D17</f>
        <v>76577.740000000005</v>
      </c>
      <c r="E17" s="123">
        <f t="shared" si="1"/>
        <v>11.062222520539258</v>
      </c>
      <c r="F17" s="138">
        <f t="shared" si="2"/>
        <v>0.23376364507872163</v>
      </c>
      <c r="G17" s="133">
        <f t="shared" si="3"/>
        <v>1.1688182253936082E-2</v>
      </c>
    </row>
    <row r="18" spans="1:8" s="2" customFormat="1" ht="28.5" customHeight="1" x14ac:dyDescent="0.25">
      <c r="A18" s="25">
        <v>11</v>
      </c>
      <c r="B18" s="26" t="s">
        <v>12</v>
      </c>
      <c r="C18" s="177">
        <v>8619.2000000000007</v>
      </c>
      <c r="D18" s="12">
        <f>программы!D18</f>
        <v>414478.44999999995</v>
      </c>
      <c r="E18" s="123">
        <f t="shared" si="1"/>
        <v>2.0795291045891533</v>
      </c>
      <c r="F18" s="138">
        <f t="shared" si="2"/>
        <v>1</v>
      </c>
      <c r="G18" s="133">
        <f t="shared" si="3"/>
        <v>0.05</v>
      </c>
      <c r="H18" s="29" t="s">
        <v>58</v>
      </c>
    </row>
    <row r="19" spans="1:8" s="2" customFormat="1" ht="22.5" customHeight="1" thickBot="1" x14ac:dyDescent="0.3">
      <c r="A19" s="25">
        <v>12</v>
      </c>
      <c r="B19" s="27" t="s">
        <v>13</v>
      </c>
      <c r="C19" s="177">
        <v>6688</v>
      </c>
      <c r="D19" s="12">
        <f>программы!D19</f>
        <v>60088.76</v>
      </c>
      <c r="E19" s="124">
        <f t="shared" si="1"/>
        <v>11.130201388745583</v>
      </c>
      <c r="F19" s="138">
        <f t="shared" si="2"/>
        <v>0.22796495221744703</v>
      </c>
      <c r="G19" s="133">
        <f t="shared" si="3"/>
        <v>1.1398247610872353E-2</v>
      </c>
    </row>
    <row r="20" spans="1:8" s="2" customFormat="1" ht="30.75" customHeight="1" thickBot="1" x14ac:dyDescent="0.3">
      <c r="A20" s="31"/>
      <c r="B20" s="33" t="s">
        <v>2</v>
      </c>
      <c r="C20" s="34">
        <f>SUM(C8:C19)</f>
        <v>103878.29999999999</v>
      </c>
      <c r="D20" s="38">
        <f>SUM(D8:D19)</f>
        <v>1655057.61</v>
      </c>
      <c r="E20" s="69">
        <f>C20/D20*100</f>
        <v>6.2764159611338233</v>
      </c>
      <c r="F20" s="184">
        <f t="shared" ref="F9:F20" si="4">(12.951-E20)/(12.951-1.754)</f>
        <v>0.59610467436511361</v>
      </c>
      <c r="G20" s="66">
        <f>F20*0.05</f>
        <v>2.9805233718255681E-2</v>
      </c>
    </row>
    <row r="21" spans="1:8" ht="15.75" x14ac:dyDescent="0.25">
      <c r="A21" s="17"/>
      <c r="B21" s="17"/>
      <c r="C21" s="17"/>
      <c r="D21" s="6"/>
      <c r="E21" s="17"/>
    </row>
    <row r="22" spans="1:8" ht="18.75" x14ac:dyDescent="0.3">
      <c r="A22" s="230" t="s">
        <v>126</v>
      </c>
      <c r="B22" s="230"/>
      <c r="C22" s="230"/>
      <c r="D22" s="230"/>
      <c r="E22" s="230"/>
      <c r="F22" s="219" t="s">
        <v>124</v>
      </c>
      <c r="G22" s="219"/>
    </row>
    <row r="23" spans="1:8" ht="15.75" x14ac:dyDescent="0.25">
      <c r="A23" s="17"/>
      <c r="B23" s="17"/>
      <c r="C23" s="17"/>
      <c r="D23" s="6"/>
      <c r="E23" s="17"/>
    </row>
    <row r="24" spans="1:8" ht="15.75" x14ac:dyDescent="0.25">
      <c r="A24" s="17"/>
      <c r="B24" s="17"/>
      <c r="C24" s="17"/>
      <c r="D24" s="6"/>
      <c r="E24" s="17"/>
    </row>
    <row r="25" spans="1:8" ht="15.75" x14ac:dyDescent="0.25">
      <c r="A25" s="17"/>
      <c r="B25" s="5"/>
      <c r="C25" s="17"/>
      <c r="D25" s="6"/>
      <c r="E25" s="17"/>
    </row>
    <row r="26" spans="1:8" ht="18.75" x14ac:dyDescent="0.3">
      <c r="A26" s="4"/>
      <c r="B26" s="4"/>
      <c r="C26" s="4"/>
      <c r="D26" s="10"/>
      <c r="E26" s="4"/>
    </row>
    <row r="27" spans="1:8" ht="18.75" x14ac:dyDescent="0.3">
      <c r="A27" s="4"/>
      <c r="B27" s="4"/>
      <c r="C27" s="4"/>
      <c r="D27" s="10"/>
      <c r="E27" s="4"/>
    </row>
    <row r="28" spans="1:8" ht="18.75" x14ac:dyDescent="0.3">
      <c r="A28" s="4"/>
      <c r="B28" s="4"/>
      <c r="C28" s="4"/>
      <c r="D28" s="10"/>
      <c r="E28" s="4"/>
    </row>
    <row r="29" spans="1:8" ht="18.75" x14ac:dyDescent="0.3">
      <c r="A29" s="4"/>
      <c r="B29" s="4"/>
      <c r="C29" s="4"/>
      <c r="D29" s="10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:C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0" sqref="F20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19.140625" style="1" customWidth="1"/>
    <col min="4" max="4" width="19.5703125" style="39" customWidth="1"/>
    <col min="5" max="5" width="29.42578125" style="1" customWidth="1"/>
    <col min="6" max="6" width="19.28515625" style="1" customWidth="1"/>
    <col min="7" max="7" width="19.85546875" style="1" customWidth="1"/>
    <col min="8" max="16384" width="9.140625" style="1"/>
  </cols>
  <sheetData>
    <row r="1" spans="1:33" ht="32.25" customHeight="1" thickBot="1" x14ac:dyDescent="0.25">
      <c r="A1" s="234" t="s">
        <v>100</v>
      </c>
      <c r="B1" s="234"/>
      <c r="C1" s="234"/>
      <c r="D1" s="234"/>
      <c r="E1" s="234"/>
      <c r="F1" s="234"/>
      <c r="G1" s="234"/>
    </row>
    <row r="2" spans="1:33" ht="12.75" customHeight="1" x14ac:dyDescent="0.2">
      <c r="A2" s="236"/>
      <c r="B2" s="239" t="s">
        <v>19</v>
      </c>
      <c r="C2" s="235" t="s">
        <v>101</v>
      </c>
      <c r="D2" s="235" t="s">
        <v>102</v>
      </c>
      <c r="E2" s="231" t="s">
        <v>117</v>
      </c>
      <c r="F2" s="231" t="s">
        <v>59</v>
      </c>
      <c r="G2" s="231" t="s">
        <v>61</v>
      </c>
    </row>
    <row r="3" spans="1:33" ht="12.75" customHeight="1" x14ac:dyDescent="0.2">
      <c r="A3" s="237"/>
      <c r="B3" s="227" t="s">
        <v>0</v>
      </c>
      <c r="C3" s="221"/>
      <c r="D3" s="221"/>
      <c r="E3" s="232"/>
      <c r="F3" s="232"/>
      <c r="G3" s="232"/>
    </row>
    <row r="4" spans="1:33" ht="15.75" customHeight="1" x14ac:dyDescent="0.2">
      <c r="A4" s="237"/>
      <c r="B4" s="227" t="s">
        <v>1</v>
      </c>
      <c r="C4" s="221"/>
      <c r="D4" s="221"/>
      <c r="E4" s="232"/>
      <c r="F4" s="232"/>
      <c r="G4" s="232"/>
    </row>
    <row r="5" spans="1:33" ht="16.5" customHeight="1" x14ac:dyDescent="0.2">
      <c r="A5" s="237"/>
      <c r="B5" s="227"/>
      <c r="C5" s="221"/>
      <c r="D5" s="221"/>
      <c r="E5" s="232"/>
      <c r="F5" s="232"/>
      <c r="G5" s="232"/>
    </row>
    <row r="6" spans="1:33" ht="53.25" customHeight="1" x14ac:dyDescent="0.2">
      <c r="A6" s="238"/>
      <c r="B6" s="227"/>
      <c r="C6" s="222"/>
      <c r="D6" s="222"/>
      <c r="E6" s="233"/>
      <c r="F6" s="233"/>
      <c r="G6" s="233"/>
    </row>
    <row r="7" spans="1:33" ht="48.75" customHeight="1" x14ac:dyDescent="0.25">
      <c r="A7" s="19"/>
      <c r="B7" s="183">
        <v>1</v>
      </c>
      <c r="C7" s="20">
        <v>2</v>
      </c>
      <c r="D7" s="21">
        <v>3</v>
      </c>
      <c r="E7" s="22" t="s">
        <v>34</v>
      </c>
      <c r="F7" s="15" t="s">
        <v>60</v>
      </c>
      <c r="G7" s="22" t="s">
        <v>62</v>
      </c>
      <c r="H7" s="7"/>
    </row>
    <row r="8" spans="1:33" s="2" customFormat="1" ht="16.899999999999999" customHeight="1" x14ac:dyDescent="0.25">
      <c r="A8" s="23">
        <v>1</v>
      </c>
      <c r="B8" s="24" t="s">
        <v>14</v>
      </c>
      <c r="C8" s="12">
        <v>10000</v>
      </c>
      <c r="D8" s="12">
        <v>10000</v>
      </c>
      <c r="E8" s="28">
        <f>D8/C8*100</f>
        <v>100</v>
      </c>
      <c r="F8" s="137">
        <f>(100-E8)/(100-0)</f>
        <v>0</v>
      </c>
      <c r="G8" s="48">
        <f>F8*0.05</f>
        <v>0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17.45" customHeight="1" x14ac:dyDescent="0.25">
      <c r="A9" s="25">
        <f t="shared" ref="A9:A15" si="0">A8+1</f>
        <v>2</v>
      </c>
      <c r="B9" s="26" t="s">
        <v>3</v>
      </c>
      <c r="C9" s="12"/>
      <c r="D9" s="12"/>
      <c r="E9" s="28"/>
      <c r="F9" s="137">
        <f>(100-E9)/(100-0)</f>
        <v>1</v>
      </c>
      <c r="G9" s="48">
        <f>F9*0.05</f>
        <v>0.05</v>
      </c>
      <c r="H9" s="46" t="s">
        <v>58</v>
      </c>
    </row>
    <row r="10" spans="1:33" s="2" customFormat="1" ht="15.6" customHeight="1" x14ac:dyDescent="0.25">
      <c r="A10" s="25">
        <f t="shared" si="0"/>
        <v>3</v>
      </c>
      <c r="B10" s="26" t="s">
        <v>4</v>
      </c>
      <c r="C10" s="12"/>
      <c r="D10" s="12"/>
      <c r="E10" s="161"/>
      <c r="F10" s="137">
        <f t="shared" ref="F10:F17" si="1">(100-E10)/(100-0)</f>
        <v>1</v>
      </c>
      <c r="G10" s="48">
        <f t="shared" ref="G10:G19" si="2">F10*0.05</f>
        <v>0.05</v>
      </c>
      <c r="I10" s="8"/>
      <c r="J10" s="8"/>
    </row>
    <row r="11" spans="1:33" s="2" customFormat="1" ht="15.6" customHeight="1" x14ac:dyDescent="0.25">
      <c r="A11" s="25">
        <f t="shared" si="0"/>
        <v>4</v>
      </c>
      <c r="B11" s="26" t="s">
        <v>5</v>
      </c>
      <c r="C11" s="12"/>
      <c r="D11" s="12"/>
      <c r="E11" s="28"/>
      <c r="F11" s="137">
        <f t="shared" si="1"/>
        <v>1</v>
      </c>
      <c r="G11" s="48">
        <f t="shared" si="2"/>
        <v>0.05</v>
      </c>
    </row>
    <row r="12" spans="1:33" s="2" customFormat="1" ht="16.899999999999999" customHeight="1" x14ac:dyDescent="0.25">
      <c r="A12" s="25">
        <f t="shared" si="0"/>
        <v>5</v>
      </c>
      <c r="B12" s="26" t="s">
        <v>6</v>
      </c>
      <c r="C12" s="12"/>
      <c r="D12" s="12"/>
      <c r="E12" s="161"/>
      <c r="F12" s="137">
        <f t="shared" si="1"/>
        <v>1</v>
      </c>
      <c r="G12" s="48">
        <f t="shared" si="2"/>
        <v>0.05</v>
      </c>
    </row>
    <row r="13" spans="1:33" s="2" customFormat="1" ht="16.149999999999999" customHeight="1" x14ac:dyDescent="0.25">
      <c r="A13" s="25">
        <f t="shared" si="0"/>
        <v>6</v>
      </c>
      <c r="B13" s="26" t="s">
        <v>7</v>
      </c>
      <c r="C13" s="12">
        <v>1000</v>
      </c>
      <c r="D13" s="12"/>
      <c r="E13" s="28">
        <f>D13/C13*100</f>
        <v>0</v>
      </c>
      <c r="F13" s="137">
        <f>(100-E13)/(100-0)</f>
        <v>1</v>
      </c>
      <c r="G13" s="48">
        <f t="shared" si="2"/>
        <v>0.05</v>
      </c>
    </row>
    <row r="14" spans="1:33" s="2" customFormat="1" ht="15.75" x14ac:dyDescent="0.25">
      <c r="A14" s="25">
        <f t="shared" si="0"/>
        <v>7</v>
      </c>
      <c r="B14" s="26" t="s">
        <v>8</v>
      </c>
      <c r="C14" s="12">
        <v>3820</v>
      </c>
      <c r="D14" s="12">
        <v>2000</v>
      </c>
      <c r="E14" s="28">
        <f>D14/C14*100</f>
        <v>52.356020942408378</v>
      </c>
      <c r="F14" s="137">
        <f t="shared" si="1"/>
        <v>0.47643979057591623</v>
      </c>
      <c r="G14" s="48">
        <f t="shared" si="2"/>
        <v>2.3821989528795814E-2</v>
      </c>
    </row>
    <row r="15" spans="1:33" s="2" customFormat="1" ht="15" customHeight="1" x14ac:dyDescent="0.25">
      <c r="A15" s="25">
        <f t="shared" si="0"/>
        <v>8</v>
      </c>
      <c r="B15" s="26" t="s">
        <v>9</v>
      </c>
      <c r="C15" s="12">
        <v>1200</v>
      </c>
      <c r="D15" s="12">
        <v>1200</v>
      </c>
      <c r="E15" s="28">
        <f>D15/C15*100</f>
        <v>100</v>
      </c>
      <c r="F15" s="137">
        <f t="shared" si="1"/>
        <v>0</v>
      </c>
      <c r="G15" s="48">
        <f t="shared" si="2"/>
        <v>0</v>
      </c>
      <c r="H15" s="29" t="s">
        <v>63</v>
      </c>
    </row>
    <row r="16" spans="1:33" s="2" customFormat="1" ht="16.899999999999999" customHeight="1" x14ac:dyDescent="0.25">
      <c r="A16" s="25">
        <v>9</v>
      </c>
      <c r="B16" s="26" t="s">
        <v>10</v>
      </c>
      <c r="C16" s="12"/>
      <c r="D16" s="12"/>
      <c r="E16" s="28"/>
      <c r="F16" s="137">
        <f t="shared" si="1"/>
        <v>1</v>
      </c>
      <c r="G16" s="48">
        <f t="shared" si="2"/>
        <v>0.05</v>
      </c>
    </row>
    <row r="17" spans="1:8" s="2" customFormat="1" ht="15" customHeight="1" x14ac:dyDescent="0.25">
      <c r="A17" s="25">
        <v>10</v>
      </c>
      <c r="B17" s="26" t="s">
        <v>11</v>
      </c>
      <c r="C17" s="12">
        <v>5800</v>
      </c>
      <c r="D17" s="12"/>
      <c r="E17" s="28">
        <f t="shared" ref="E17" si="3">D17/C17*100</f>
        <v>0</v>
      </c>
      <c r="F17" s="137">
        <f t="shared" si="1"/>
        <v>1</v>
      </c>
      <c r="G17" s="48">
        <f t="shared" si="2"/>
        <v>0.05</v>
      </c>
    </row>
    <row r="18" spans="1:8" s="2" customFormat="1" ht="14.45" customHeight="1" x14ac:dyDescent="0.25">
      <c r="A18" s="25">
        <v>11</v>
      </c>
      <c r="B18" s="26" t="s">
        <v>12</v>
      </c>
      <c r="C18" s="12"/>
      <c r="D18" s="12"/>
      <c r="E18" s="28"/>
      <c r="F18" s="137">
        <f>(100-E18)/(100-0)</f>
        <v>1</v>
      </c>
      <c r="G18" s="48">
        <f t="shared" si="2"/>
        <v>0.05</v>
      </c>
    </row>
    <row r="19" spans="1:8" s="2" customFormat="1" ht="15.75" customHeight="1" thickBot="1" x14ac:dyDescent="0.3">
      <c r="A19" s="25">
        <v>12</v>
      </c>
      <c r="B19" s="27" t="s">
        <v>13</v>
      </c>
      <c r="C19" s="37"/>
      <c r="D19" s="37"/>
      <c r="E19" s="36"/>
      <c r="F19" s="137">
        <f>(100-E19)/(100-0)</f>
        <v>1</v>
      </c>
      <c r="G19" s="48">
        <f t="shared" si="2"/>
        <v>0.05</v>
      </c>
    </row>
    <row r="20" spans="1:8" s="2" customFormat="1" ht="30.75" customHeight="1" thickBot="1" x14ac:dyDescent="0.3">
      <c r="A20" s="31"/>
      <c r="B20" s="33" t="s">
        <v>2</v>
      </c>
      <c r="C20" s="65">
        <f>SUM(C8:C18)</f>
        <v>21820</v>
      </c>
      <c r="D20" s="167">
        <f>'отношение мун. долга'!C20</f>
        <v>13200</v>
      </c>
      <c r="E20" s="168">
        <f>D20/C20*100</f>
        <v>60.49495875343721</v>
      </c>
      <c r="F20" s="188">
        <f>(100-E20)/(100-0)</f>
        <v>0.39505041246562789</v>
      </c>
      <c r="G20" s="166">
        <f t="shared" ref="G20" si="4">SUM(G8:G19)</f>
        <v>0.47382198952879578</v>
      </c>
      <c r="H20" s="166">
        <f>SUM(H9:H19)</f>
        <v>0</v>
      </c>
    </row>
    <row r="21" spans="1:8" ht="15.75" x14ac:dyDescent="0.25">
      <c r="A21" s="17"/>
      <c r="B21" s="17"/>
      <c r="C21" s="17"/>
      <c r="D21" s="6"/>
      <c r="E21" s="17"/>
      <c r="F21" s="7"/>
      <c r="G21" s="7"/>
    </row>
    <row r="22" spans="1:8" ht="18.75" x14ac:dyDescent="0.3">
      <c r="A22" s="230" t="s">
        <v>127</v>
      </c>
      <c r="B22" s="230"/>
      <c r="C22" s="230"/>
      <c r="D22" s="230"/>
      <c r="E22" s="230"/>
      <c r="F22" s="219" t="s">
        <v>124</v>
      </c>
      <c r="G22" s="219"/>
    </row>
    <row r="23" spans="1:8" ht="15.75" x14ac:dyDescent="0.25">
      <c r="A23" s="17"/>
      <c r="B23" s="17"/>
      <c r="C23" s="17"/>
      <c r="D23" s="6"/>
      <c r="E23" s="17"/>
    </row>
    <row r="24" spans="1:8" ht="15.75" x14ac:dyDescent="0.25">
      <c r="A24" s="17"/>
      <c r="B24" s="17"/>
      <c r="C24" s="17"/>
      <c r="D24" s="6"/>
      <c r="E24" s="17"/>
    </row>
    <row r="25" spans="1:8" ht="15.75" x14ac:dyDescent="0.25">
      <c r="A25" s="17"/>
      <c r="B25" s="5"/>
      <c r="C25" s="17"/>
      <c r="D25" s="6"/>
      <c r="E25" s="17"/>
    </row>
    <row r="26" spans="1:8" ht="18.75" x14ac:dyDescent="0.3">
      <c r="A26" s="4"/>
      <c r="B26" s="4"/>
      <c r="C26" s="4"/>
      <c r="D26" s="10"/>
      <c r="E26" s="4"/>
    </row>
    <row r="27" spans="1:8" ht="18.75" x14ac:dyDescent="0.3">
      <c r="A27" s="4"/>
      <c r="B27" s="4"/>
      <c r="C27" s="4"/>
      <c r="D27" s="10"/>
      <c r="E27" s="4"/>
    </row>
    <row r="28" spans="1:8" ht="18.75" x14ac:dyDescent="0.3">
      <c r="A28" s="4"/>
      <c r="B28" s="4"/>
      <c r="C28" s="4"/>
      <c r="D28" s="10"/>
      <c r="E28" s="4"/>
    </row>
    <row r="29" spans="1:8" ht="18.75" x14ac:dyDescent="0.3">
      <c r="A29" s="4"/>
      <c r="B29" s="4"/>
      <c r="C29" s="4"/>
      <c r="D29" s="10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6" sqref="F16"/>
    </sheetView>
  </sheetViews>
  <sheetFormatPr defaultColWidth="9.140625" defaultRowHeight="12.75" x14ac:dyDescent="0.2"/>
  <cols>
    <col min="1" max="1" width="4.140625" style="84" customWidth="1"/>
    <col min="2" max="2" width="22.7109375" style="84" customWidth="1"/>
    <col min="3" max="3" width="25.5703125" style="84" customWidth="1"/>
    <col min="4" max="4" width="19.5703125" style="100" customWidth="1"/>
    <col min="5" max="5" width="29" style="84" customWidth="1"/>
    <col min="6" max="6" width="21.85546875" style="84" customWidth="1"/>
    <col min="7" max="7" width="19.5703125" style="84" customWidth="1"/>
    <col min="8" max="8" width="9.140625" style="83"/>
    <col min="9" max="9" width="9.140625" style="84"/>
    <col min="10" max="10" width="13.42578125" style="84" customWidth="1"/>
    <col min="11" max="16384" width="9.140625" style="84"/>
  </cols>
  <sheetData>
    <row r="1" spans="1:33" ht="39.75" customHeight="1" x14ac:dyDescent="0.2">
      <c r="A1" s="228" t="s">
        <v>112</v>
      </c>
      <c r="B1" s="228"/>
      <c r="C1" s="228"/>
      <c r="D1" s="228"/>
      <c r="E1" s="228"/>
      <c r="F1" s="228"/>
      <c r="G1" s="228"/>
    </row>
    <row r="2" spans="1:33" ht="12.75" customHeight="1" x14ac:dyDescent="0.2">
      <c r="A2" s="242"/>
      <c r="B2" s="227" t="s">
        <v>19</v>
      </c>
      <c r="C2" s="227" t="s">
        <v>113</v>
      </c>
      <c r="D2" s="227" t="s">
        <v>114</v>
      </c>
      <c r="E2" s="227" t="s">
        <v>111</v>
      </c>
      <c r="F2" s="227" t="s">
        <v>59</v>
      </c>
      <c r="G2" s="227" t="s">
        <v>61</v>
      </c>
    </row>
    <row r="3" spans="1:33" ht="12.75" customHeight="1" x14ac:dyDescent="0.2">
      <c r="A3" s="242"/>
      <c r="B3" s="227" t="s">
        <v>0</v>
      </c>
      <c r="C3" s="227"/>
      <c r="D3" s="227"/>
      <c r="E3" s="227"/>
      <c r="F3" s="227"/>
      <c r="G3" s="227"/>
    </row>
    <row r="4" spans="1:33" ht="15.75" customHeight="1" x14ac:dyDescent="0.2">
      <c r="A4" s="242"/>
      <c r="B4" s="227" t="s">
        <v>1</v>
      </c>
      <c r="C4" s="227"/>
      <c r="D4" s="227"/>
      <c r="E4" s="227"/>
      <c r="F4" s="227"/>
      <c r="G4" s="227"/>
    </row>
    <row r="5" spans="1:33" ht="16.5" customHeight="1" x14ac:dyDescent="0.2">
      <c r="A5" s="242"/>
      <c r="B5" s="227"/>
      <c r="C5" s="227"/>
      <c r="D5" s="227"/>
      <c r="E5" s="227"/>
      <c r="F5" s="227"/>
      <c r="G5" s="227"/>
    </row>
    <row r="6" spans="1:33" ht="56.25" customHeight="1" x14ac:dyDescent="0.2">
      <c r="A6" s="242"/>
      <c r="B6" s="227"/>
      <c r="C6" s="227"/>
      <c r="D6" s="227"/>
      <c r="E6" s="227"/>
      <c r="F6" s="227"/>
      <c r="G6" s="227"/>
    </row>
    <row r="7" spans="1:33" ht="39" customHeight="1" x14ac:dyDescent="0.2">
      <c r="A7" s="90"/>
      <c r="B7" s="53">
        <v>1</v>
      </c>
      <c r="C7" s="103">
        <v>2</v>
      </c>
      <c r="D7" s="103">
        <v>3</v>
      </c>
      <c r="E7" s="103" t="s">
        <v>110</v>
      </c>
      <c r="F7" s="15" t="s">
        <v>66</v>
      </c>
      <c r="G7" s="109" t="s">
        <v>62</v>
      </c>
    </row>
    <row r="8" spans="1:33" s="73" customFormat="1" ht="20.25" customHeight="1" x14ac:dyDescent="0.2">
      <c r="A8" s="85">
        <v>1</v>
      </c>
      <c r="B8" s="14" t="s">
        <v>14</v>
      </c>
      <c r="C8" s="211">
        <v>292315</v>
      </c>
      <c r="D8" s="211">
        <v>331205.65197000001</v>
      </c>
      <c r="E8" s="150">
        <f>D8/C8*100</f>
        <v>113.30436411747601</v>
      </c>
      <c r="F8" s="159">
        <f t="shared" ref="F8:F20" si="0">(E8-95.159)/(171.329-95.159)</f>
        <v>0.23822192618453467</v>
      </c>
      <c r="G8" s="159">
        <f>F8*0.05</f>
        <v>1.1911096309226734E-2</v>
      </c>
      <c r="I8" s="79"/>
      <c r="J8" s="91"/>
      <c r="K8" s="79"/>
      <c r="L8" s="79"/>
      <c r="M8" s="79"/>
      <c r="N8" s="79"/>
      <c r="O8" s="79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s="73" customFormat="1" ht="20.25" customHeight="1" x14ac:dyDescent="0.2">
      <c r="A9" s="85">
        <f t="shared" ref="A9:A15" si="1">A8+1</f>
        <v>2</v>
      </c>
      <c r="B9" s="74" t="s">
        <v>3</v>
      </c>
      <c r="C9" s="211">
        <v>19926.7</v>
      </c>
      <c r="D9" s="211">
        <v>23576.826860000001</v>
      </c>
      <c r="E9" s="150">
        <f t="shared" ref="E9:E19" si="2">D9/C9*100</f>
        <v>118.31776892310317</v>
      </c>
      <c r="F9" s="159">
        <f t="shared" si="0"/>
        <v>0.30404055301435168</v>
      </c>
      <c r="G9" s="159">
        <f t="shared" ref="G9:G20" si="3">F9*0.05</f>
        <v>1.5202027650717584E-2</v>
      </c>
      <c r="J9" s="92"/>
    </row>
    <row r="10" spans="1:33" s="73" customFormat="1" ht="20.25" customHeight="1" x14ac:dyDescent="0.2">
      <c r="A10" s="85">
        <f t="shared" si="1"/>
        <v>3</v>
      </c>
      <c r="B10" s="74" t="s">
        <v>4</v>
      </c>
      <c r="C10" s="211">
        <v>36023.5</v>
      </c>
      <c r="D10" s="211">
        <v>41386.100639999997</v>
      </c>
      <c r="E10" s="150">
        <f t="shared" si="2"/>
        <v>114.88639538079309</v>
      </c>
      <c r="F10" s="159">
        <f t="shared" si="0"/>
        <v>0.25899166838378734</v>
      </c>
      <c r="G10" s="159">
        <f t="shared" si="3"/>
        <v>1.2949583419189368E-2</v>
      </c>
      <c r="I10" s="81"/>
      <c r="J10" s="93"/>
    </row>
    <row r="11" spans="1:33" s="73" customFormat="1" ht="20.25" customHeight="1" x14ac:dyDescent="0.2">
      <c r="A11" s="85">
        <f t="shared" si="1"/>
        <v>4</v>
      </c>
      <c r="B11" s="74" t="s">
        <v>5</v>
      </c>
      <c r="C11" s="211">
        <v>44250</v>
      </c>
      <c r="D11" s="211">
        <v>54618.785510000002</v>
      </c>
      <c r="E11" s="150">
        <f t="shared" si="2"/>
        <v>123.43228363841807</v>
      </c>
      <c r="F11" s="159">
        <f t="shared" si="0"/>
        <v>0.37118660415410348</v>
      </c>
      <c r="G11" s="159">
        <f t="shared" si="3"/>
        <v>1.8559330207705175E-2</v>
      </c>
      <c r="H11" s="81"/>
      <c r="J11" s="92"/>
    </row>
    <row r="12" spans="1:33" s="73" customFormat="1" ht="20.25" customHeight="1" x14ac:dyDescent="0.2">
      <c r="A12" s="85">
        <f t="shared" si="1"/>
        <v>5</v>
      </c>
      <c r="B12" s="74" t="s">
        <v>6</v>
      </c>
      <c r="C12" s="211">
        <v>60135.826000000001</v>
      </c>
      <c r="D12" s="211">
        <v>57224.594920000003</v>
      </c>
      <c r="E12" s="150">
        <f t="shared" si="2"/>
        <v>95.158907304274834</v>
      </c>
      <c r="F12" s="159">
        <f t="shared" si="0"/>
        <v>-1.2169584504676454E-6</v>
      </c>
      <c r="G12" s="159">
        <f t="shared" si="3"/>
        <v>-6.0847922523382278E-8</v>
      </c>
      <c r="H12" s="73" t="s">
        <v>58</v>
      </c>
      <c r="J12" s="92"/>
    </row>
    <row r="13" spans="1:33" s="73" customFormat="1" ht="20.25" customHeight="1" x14ac:dyDescent="0.2">
      <c r="A13" s="85">
        <f t="shared" si="1"/>
        <v>6</v>
      </c>
      <c r="B13" s="74" t="s">
        <v>7</v>
      </c>
      <c r="C13" s="211">
        <v>26783.9</v>
      </c>
      <c r="D13" s="211">
        <v>45888.661990000001</v>
      </c>
      <c r="E13" s="150">
        <f t="shared" si="2"/>
        <v>171.32927613230336</v>
      </c>
      <c r="F13" s="159">
        <f t="shared" si="0"/>
        <v>1.0000036252107569</v>
      </c>
      <c r="G13" s="159">
        <f t="shared" si="3"/>
        <v>5.0000181260537846E-2</v>
      </c>
      <c r="H13" s="73" t="s">
        <v>63</v>
      </c>
      <c r="J13" s="92"/>
    </row>
    <row r="14" spans="1:33" s="73" customFormat="1" ht="20.25" customHeight="1" x14ac:dyDescent="0.2">
      <c r="A14" s="85">
        <f t="shared" si="1"/>
        <v>7</v>
      </c>
      <c r="B14" s="74" t="s">
        <v>8</v>
      </c>
      <c r="C14" s="211">
        <v>27842.04</v>
      </c>
      <c r="D14" s="211">
        <v>39094.11464</v>
      </c>
      <c r="E14" s="150">
        <f t="shared" si="2"/>
        <v>140.41397340137431</v>
      </c>
      <c r="F14" s="159">
        <f t="shared" si="0"/>
        <v>0.59413119865267561</v>
      </c>
      <c r="G14" s="159">
        <f t="shared" si="3"/>
        <v>2.9706559932633783E-2</v>
      </c>
      <c r="J14" s="92"/>
    </row>
    <row r="15" spans="1:33" s="73" customFormat="1" ht="20.25" customHeight="1" x14ac:dyDescent="0.2">
      <c r="A15" s="85">
        <f t="shared" si="1"/>
        <v>8</v>
      </c>
      <c r="B15" s="74" t="s">
        <v>9</v>
      </c>
      <c r="C15" s="211">
        <v>23608.1</v>
      </c>
      <c r="D15" s="211">
        <v>31320.21242</v>
      </c>
      <c r="E15" s="150">
        <f t="shared" si="2"/>
        <v>132.6672303997357</v>
      </c>
      <c r="F15" s="159">
        <f t="shared" si="0"/>
        <v>0.49242786398497695</v>
      </c>
      <c r="G15" s="159">
        <f t="shared" si="3"/>
        <v>2.4621393199248848E-2</v>
      </c>
      <c r="J15" s="92"/>
    </row>
    <row r="16" spans="1:33" s="73" customFormat="1" ht="20.25" customHeight="1" x14ac:dyDescent="0.2">
      <c r="A16" s="85">
        <v>9</v>
      </c>
      <c r="B16" s="74" t="s">
        <v>10</v>
      </c>
      <c r="C16" s="211">
        <v>44875.5</v>
      </c>
      <c r="D16" s="211">
        <v>57043.991529999999</v>
      </c>
      <c r="E16" s="150">
        <f t="shared" si="2"/>
        <v>127.11611353633943</v>
      </c>
      <c r="F16" s="159">
        <f t="shared" si="0"/>
        <v>0.41954986919180021</v>
      </c>
      <c r="G16" s="159">
        <f t="shared" si="3"/>
        <v>2.0977493459590012E-2</v>
      </c>
      <c r="J16" s="92"/>
    </row>
    <row r="17" spans="1:10" s="73" customFormat="1" ht="20.25" customHeight="1" x14ac:dyDescent="0.2">
      <c r="A17" s="85">
        <v>10</v>
      </c>
      <c r="B17" s="74" t="s">
        <v>11</v>
      </c>
      <c r="C17" s="211">
        <v>59987.9</v>
      </c>
      <c r="D17" s="211">
        <v>67536.975529999996</v>
      </c>
      <c r="E17" s="150">
        <f t="shared" si="2"/>
        <v>112.58433038996196</v>
      </c>
      <c r="F17" s="159">
        <f t="shared" si="0"/>
        <v>0.22876894302168777</v>
      </c>
      <c r="G17" s="159">
        <f t="shared" si="3"/>
        <v>1.1438447151084389E-2</v>
      </c>
      <c r="J17" s="92"/>
    </row>
    <row r="18" spans="1:10" s="73" customFormat="1" ht="20.25" customHeight="1" x14ac:dyDescent="0.2">
      <c r="A18" s="85">
        <v>11</v>
      </c>
      <c r="B18" s="74" t="s">
        <v>12</v>
      </c>
      <c r="C18" s="211">
        <v>301456</v>
      </c>
      <c r="D18" s="211">
        <v>399751.52476</v>
      </c>
      <c r="E18" s="150">
        <f t="shared" si="2"/>
        <v>132.60692265537924</v>
      </c>
      <c r="F18" s="159">
        <f t="shared" si="0"/>
        <v>0.49163611205696772</v>
      </c>
      <c r="G18" s="159">
        <f t="shared" si="3"/>
        <v>2.4581805602848388E-2</v>
      </c>
      <c r="J18" s="92"/>
    </row>
    <row r="19" spans="1:10" s="73" customFormat="1" ht="20.25" customHeight="1" thickBot="1" x14ac:dyDescent="0.25">
      <c r="A19" s="86">
        <v>12</v>
      </c>
      <c r="B19" s="76" t="s">
        <v>13</v>
      </c>
      <c r="C19" s="212">
        <v>33401.1</v>
      </c>
      <c r="D19" s="212">
        <v>43438.916539999998</v>
      </c>
      <c r="E19" s="208">
        <f t="shared" si="2"/>
        <v>130.05235318597292</v>
      </c>
      <c r="F19" s="160">
        <f t="shared" si="0"/>
        <v>0.45809837450404245</v>
      </c>
      <c r="G19" s="160">
        <f t="shared" si="3"/>
        <v>2.2904918725202124E-2</v>
      </c>
      <c r="J19" s="92"/>
    </row>
    <row r="20" spans="1:10" s="73" customFormat="1" ht="20.25" customHeight="1" thickBot="1" x14ac:dyDescent="0.25">
      <c r="A20" s="87"/>
      <c r="B20" s="78" t="s">
        <v>2</v>
      </c>
      <c r="C20" s="213">
        <f>SUM(C8:C19)</f>
        <v>970605.56599999999</v>
      </c>
      <c r="D20" s="213">
        <f>SUM(D8:D19)</f>
        <v>1192086.3573099999</v>
      </c>
      <c r="E20" s="101">
        <f>D20/C20*100</f>
        <v>122.81882559387671</v>
      </c>
      <c r="F20" s="214">
        <f t="shared" si="0"/>
        <v>0.36313280286040045</v>
      </c>
      <c r="G20" s="102">
        <f t="shared" si="3"/>
        <v>1.8156640143020025E-2</v>
      </c>
      <c r="J20" s="92"/>
    </row>
    <row r="21" spans="1:10" ht="15.75" x14ac:dyDescent="0.2">
      <c r="A21" s="94"/>
      <c r="B21" s="94"/>
      <c r="C21" s="94"/>
      <c r="D21" s="95"/>
      <c r="E21" s="94"/>
      <c r="F21" s="83"/>
      <c r="G21" s="83"/>
    </row>
    <row r="22" spans="1:10" ht="18.75" x14ac:dyDescent="0.3">
      <c r="A22" s="241" t="s">
        <v>130</v>
      </c>
      <c r="B22" s="241"/>
      <c r="C22" s="241"/>
      <c r="D22" s="241"/>
      <c r="E22" s="241"/>
      <c r="F22" s="219" t="s">
        <v>124</v>
      </c>
      <c r="G22" s="219"/>
      <c r="J22" s="97"/>
    </row>
    <row r="23" spans="1:10" ht="15.75" x14ac:dyDescent="0.2">
      <c r="A23" s="94"/>
      <c r="B23" s="94"/>
      <c r="C23" s="94"/>
      <c r="D23" s="95"/>
      <c r="E23" s="94"/>
    </row>
    <row r="24" spans="1:10" ht="15.75" x14ac:dyDescent="0.2">
      <c r="A24" s="94"/>
      <c r="B24" s="94"/>
      <c r="C24" s="94"/>
      <c r="D24" s="95"/>
      <c r="E24" s="94"/>
    </row>
    <row r="25" spans="1:10" ht="15.75" x14ac:dyDescent="0.2">
      <c r="A25" s="94"/>
      <c r="B25" s="96"/>
      <c r="C25" s="94"/>
      <c r="D25" s="95"/>
      <c r="E25" s="94"/>
    </row>
    <row r="26" spans="1:10" ht="18.75" x14ac:dyDescent="0.2">
      <c r="A26" s="98"/>
      <c r="B26" s="98"/>
      <c r="C26" s="98"/>
      <c r="D26" s="99"/>
      <c r="E26" s="98"/>
    </row>
    <row r="27" spans="1:10" ht="18.75" x14ac:dyDescent="0.2">
      <c r="A27" s="98"/>
      <c r="B27" s="98"/>
      <c r="C27" s="98"/>
      <c r="D27" s="99"/>
      <c r="E27" s="98"/>
    </row>
    <row r="28" spans="1:10" ht="18.75" x14ac:dyDescent="0.2">
      <c r="A28" s="98"/>
      <c r="B28" s="98"/>
      <c r="C28" s="98"/>
      <c r="D28" s="99"/>
      <c r="E28" s="98"/>
    </row>
    <row r="29" spans="1:10" ht="18.75" x14ac:dyDescent="0.2">
      <c r="A29" s="98"/>
      <c r="B29" s="98"/>
      <c r="C29" s="98"/>
      <c r="D29" s="99"/>
      <c r="E29" s="98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:C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9"/>
  <sheetViews>
    <sheetView showZeros="0" view="pageBreakPreview" zoomScale="95" zoomScaleNormal="100" zoomScaleSheetLayoutView="95" workbookViewId="0">
      <selection activeCell="I7" sqref="I7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38" style="1" customWidth="1"/>
    <col min="4" max="4" width="20.28515625" style="1" customWidth="1"/>
    <col min="5" max="5" width="19.42578125" style="1" customWidth="1"/>
    <col min="6" max="16384" width="9.140625" style="1"/>
  </cols>
  <sheetData>
    <row r="1" spans="1:31" ht="48.75" customHeight="1" thickBot="1" x14ac:dyDescent="0.25">
      <c r="A1" s="228" t="s">
        <v>55</v>
      </c>
      <c r="B1" s="228"/>
      <c r="C1" s="228"/>
      <c r="D1" s="228"/>
      <c r="E1" s="228"/>
    </row>
    <row r="2" spans="1:31" ht="12.75" customHeight="1" x14ac:dyDescent="0.2">
      <c r="A2" s="236"/>
      <c r="B2" s="239" t="s">
        <v>19</v>
      </c>
      <c r="C2" s="231" t="s">
        <v>55</v>
      </c>
      <c r="D2" s="231" t="s">
        <v>59</v>
      </c>
      <c r="E2" s="231" t="s">
        <v>61</v>
      </c>
    </row>
    <row r="3" spans="1:31" ht="12.75" customHeight="1" x14ac:dyDescent="0.2">
      <c r="A3" s="237"/>
      <c r="B3" s="227" t="s">
        <v>0</v>
      </c>
      <c r="C3" s="232"/>
      <c r="D3" s="232"/>
      <c r="E3" s="232"/>
    </row>
    <row r="4" spans="1:31" ht="15.75" customHeight="1" x14ac:dyDescent="0.2">
      <c r="A4" s="237"/>
      <c r="B4" s="227" t="s">
        <v>1</v>
      </c>
      <c r="C4" s="232"/>
      <c r="D4" s="232"/>
      <c r="E4" s="232"/>
    </row>
    <row r="5" spans="1:31" ht="16.5" customHeight="1" x14ac:dyDescent="0.2">
      <c r="A5" s="237"/>
      <c r="B5" s="227"/>
      <c r="C5" s="232"/>
      <c r="D5" s="232"/>
      <c r="E5" s="232"/>
    </row>
    <row r="6" spans="1:31" ht="36.75" customHeight="1" x14ac:dyDescent="0.2">
      <c r="A6" s="238"/>
      <c r="B6" s="227"/>
      <c r="C6" s="233"/>
      <c r="D6" s="233"/>
      <c r="E6" s="233"/>
    </row>
    <row r="7" spans="1:31" ht="40.5" customHeight="1" x14ac:dyDescent="0.25">
      <c r="A7" s="19"/>
      <c r="B7" s="13">
        <v>1</v>
      </c>
      <c r="C7" s="22" t="s">
        <v>116</v>
      </c>
      <c r="D7" s="15" t="s">
        <v>60</v>
      </c>
      <c r="E7" s="22" t="s">
        <v>62</v>
      </c>
      <c r="F7" s="7"/>
    </row>
    <row r="8" spans="1:31" s="2" customFormat="1" ht="24.75" customHeight="1" x14ac:dyDescent="0.25">
      <c r="A8" s="23">
        <v>1</v>
      </c>
      <c r="B8" s="42" t="s">
        <v>14</v>
      </c>
      <c r="C8" s="142">
        <v>1.52</v>
      </c>
      <c r="D8" s="133">
        <f>($C$18-C8)/($C$18-$C$13)</f>
        <v>0.86988847583643114</v>
      </c>
      <c r="E8" s="133">
        <f t="shared" ref="E8:E20" si="0">D8*0.05</f>
        <v>4.3494423791821557E-2</v>
      </c>
      <c r="G8" s="29"/>
      <c r="H8" s="29"/>
      <c r="I8" s="29"/>
      <c r="J8" s="29"/>
      <c r="K8" s="29"/>
      <c r="L8" s="29"/>
      <c r="M8" s="29"/>
      <c r="N8" s="2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33.75" customHeight="1" x14ac:dyDescent="0.25">
      <c r="A9" s="25">
        <f t="shared" ref="A9:A15" si="1">A8+1</f>
        <v>2</v>
      </c>
      <c r="B9" s="43" t="s">
        <v>3</v>
      </c>
      <c r="C9" s="142">
        <v>1.8</v>
      </c>
      <c r="D9" s="133">
        <f t="shared" ref="D9:D19" si="2">($C$18-C9)/($C$18-$C$13)</f>
        <v>0.76579925650557612</v>
      </c>
      <c r="E9" s="133">
        <f t="shared" si="0"/>
        <v>3.8289962825278807E-2</v>
      </c>
    </row>
    <row r="10" spans="1:31" s="2" customFormat="1" ht="29.25" customHeight="1" x14ac:dyDescent="0.25">
      <c r="A10" s="25">
        <f t="shared" si="1"/>
        <v>3</v>
      </c>
      <c r="B10" s="43" t="s">
        <v>4</v>
      </c>
      <c r="C10" s="142">
        <v>1.23</v>
      </c>
      <c r="D10" s="133">
        <f t="shared" si="2"/>
        <v>0.97769516728624528</v>
      </c>
      <c r="E10" s="133">
        <f t="shared" si="0"/>
        <v>4.8884758364312268E-2</v>
      </c>
      <c r="G10" s="8"/>
      <c r="H10" s="8"/>
    </row>
    <row r="11" spans="1:31" s="2" customFormat="1" ht="28.5" customHeight="1" x14ac:dyDescent="0.25">
      <c r="A11" s="25">
        <f t="shared" si="1"/>
        <v>4</v>
      </c>
      <c r="B11" s="43" t="s">
        <v>5</v>
      </c>
      <c r="C11" s="142">
        <v>1.7</v>
      </c>
      <c r="D11" s="133">
        <f t="shared" si="2"/>
        <v>0.80297397769516732</v>
      </c>
      <c r="E11" s="133">
        <f t="shared" si="0"/>
        <v>4.0148698884758367E-2</v>
      </c>
    </row>
    <row r="12" spans="1:31" s="2" customFormat="1" ht="28.5" customHeight="1" x14ac:dyDescent="0.25">
      <c r="A12" s="25">
        <f t="shared" si="1"/>
        <v>5</v>
      </c>
      <c r="B12" s="43" t="s">
        <v>6</v>
      </c>
      <c r="C12" s="142">
        <v>1.3</v>
      </c>
      <c r="D12" s="133">
        <f t="shared" si="2"/>
        <v>0.95167286245353144</v>
      </c>
      <c r="E12" s="133">
        <f t="shared" si="0"/>
        <v>4.7583643122676572E-2</v>
      </c>
    </row>
    <row r="13" spans="1:31" s="2" customFormat="1" ht="27.75" customHeight="1" x14ac:dyDescent="0.25">
      <c r="A13" s="25">
        <f t="shared" si="1"/>
        <v>6</v>
      </c>
      <c r="B13" s="43" t="s">
        <v>7</v>
      </c>
      <c r="C13" s="142">
        <v>1.17</v>
      </c>
      <c r="D13" s="133">
        <f t="shared" si="2"/>
        <v>1</v>
      </c>
      <c r="E13" s="133">
        <f t="shared" si="0"/>
        <v>0.05</v>
      </c>
      <c r="F13" s="2" t="s">
        <v>58</v>
      </c>
    </row>
    <row r="14" spans="1:31" s="2" customFormat="1" ht="15.75" x14ac:dyDescent="0.25">
      <c r="A14" s="25">
        <f t="shared" si="1"/>
        <v>7</v>
      </c>
      <c r="B14" s="43" t="s">
        <v>8</v>
      </c>
      <c r="C14" s="142">
        <v>2.4</v>
      </c>
      <c r="D14" s="133">
        <f t="shared" si="2"/>
        <v>0.54275092936802971</v>
      </c>
      <c r="E14" s="133">
        <f t="shared" si="0"/>
        <v>2.7137546468401486E-2</v>
      </c>
    </row>
    <row r="15" spans="1:31" s="2" customFormat="1" ht="22.5" customHeight="1" x14ac:dyDescent="0.25">
      <c r="A15" s="25">
        <f t="shared" si="1"/>
        <v>8</v>
      </c>
      <c r="B15" s="43" t="s">
        <v>9</v>
      </c>
      <c r="C15" s="142">
        <v>1.5</v>
      </c>
      <c r="D15" s="133">
        <f t="shared" si="2"/>
        <v>0.87732342007434938</v>
      </c>
      <c r="E15" s="133">
        <f t="shared" si="0"/>
        <v>4.3866171003717473E-2</v>
      </c>
    </row>
    <row r="16" spans="1:31" s="2" customFormat="1" ht="24.75" customHeight="1" x14ac:dyDescent="0.25">
      <c r="A16" s="25">
        <v>9</v>
      </c>
      <c r="B16" s="43" t="s">
        <v>10</v>
      </c>
      <c r="C16" s="142">
        <v>1.55</v>
      </c>
      <c r="D16" s="133">
        <f t="shared" si="2"/>
        <v>0.85873605947955378</v>
      </c>
      <c r="E16" s="133">
        <f t="shared" si="0"/>
        <v>4.2936802973977693E-2</v>
      </c>
    </row>
    <row r="17" spans="1:6" s="2" customFormat="1" ht="30.75" customHeight="1" x14ac:dyDescent="0.25">
      <c r="A17" s="25">
        <v>10</v>
      </c>
      <c r="B17" s="43" t="s">
        <v>11</v>
      </c>
      <c r="C17" s="142">
        <v>2.33</v>
      </c>
      <c r="D17" s="133">
        <f t="shared" si="2"/>
        <v>0.56877323420074344</v>
      </c>
      <c r="E17" s="133">
        <f t="shared" si="0"/>
        <v>2.8438661710037172E-2</v>
      </c>
    </row>
    <row r="18" spans="1:6" s="2" customFormat="1" ht="28.5" customHeight="1" x14ac:dyDescent="0.25">
      <c r="A18" s="25">
        <v>11</v>
      </c>
      <c r="B18" s="43" t="s">
        <v>12</v>
      </c>
      <c r="C18" s="142">
        <v>3.86</v>
      </c>
      <c r="D18" s="133">
        <f t="shared" si="2"/>
        <v>0</v>
      </c>
      <c r="E18" s="133">
        <f t="shared" si="0"/>
        <v>0</v>
      </c>
      <c r="F18" s="2" t="s">
        <v>63</v>
      </c>
    </row>
    <row r="19" spans="1:6" s="2" customFormat="1" ht="22.5" customHeight="1" thickBot="1" x14ac:dyDescent="0.3">
      <c r="A19" s="25">
        <v>12</v>
      </c>
      <c r="B19" s="44" t="s">
        <v>13</v>
      </c>
      <c r="C19" s="142">
        <v>1.75</v>
      </c>
      <c r="D19" s="133">
        <f t="shared" si="2"/>
        <v>0.78438661710037172</v>
      </c>
      <c r="E19" s="133">
        <f t="shared" si="0"/>
        <v>3.9219330855018587E-2</v>
      </c>
    </row>
    <row r="20" spans="1:6" s="2" customFormat="1" ht="30.75" customHeight="1" thickBot="1" x14ac:dyDescent="0.3">
      <c r="A20" s="31"/>
      <c r="B20" s="141" t="s">
        <v>2</v>
      </c>
      <c r="C20" s="185">
        <f>SUM(C8:C19)/12</f>
        <v>1.8425</v>
      </c>
      <c r="D20" s="217">
        <f t="shared" ref="D9:D20" si="3">(2.33-C20)/(2.33-1.17)</f>
        <v>0.42025862068965514</v>
      </c>
      <c r="E20" s="186">
        <f t="shared" si="0"/>
        <v>2.1012931034482759E-2</v>
      </c>
    </row>
    <row r="21" spans="1:6" ht="15.75" x14ac:dyDescent="0.25">
      <c r="A21" s="17"/>
      <c r="B21" s="17"/>
      <c r="C21" s="17"/>
    </row>
    <row r="22" spans="1:6" ht="35.25" customHeight="1" x14ac:dyDescent="0.3">
      <c r="A22" s="243" t="s">
        <v>131</v>
      </c>
      <c r="B22" s="243"/>
      <c r="C22" s="243"/>
      <c r="D22" s="219" t="s">
        <v>124</v>
      </c>
      <c r="E22" s="219"/>
    </row>
    <row r="23" spans="1:6" ht="15.75" x14ac:dyDescent="0.25">
      <c r="A23" s="17"/>
      <c r="B23" s="17"/>
      <c r="C23" s="17"/>
    </row>
    <row r="24" spans="1:6" ht="15.75" x14ac:dyDescent="0.25">
      <c r="A24" s="17"/>
      <c r="B24" s="17"/>
      <c r="C24" s="17"/>
    </row>
    <row r="25" spans="1:6" ht="15.75" x14ac:dyDescent="0.25">
      <c r="A25" s="17"/>
      <c r="B25" s="5"/>
      <c r="C25" s="17"/>
    </row>
    <row r="26" spans="1:6" ht="18.75" x14ac:dyDescent="0.3">
      <c r="A26" s="4"/>
      <c r="B26" s="4"/>
      <c r="C26" s="4"/>
    </row>
    <row r="27" spans="1:6" ht="18.75" x14ac:dyDescent="0.3">
      <c r="A27" s="4"/>
      <c r="B27" s="4"/>
      <c r="C27" s="4"/>
    </row>
    <row r="28" spans="1:6" ht="18.75" x14ac:dyDescent="0.3">
      <c r="A28" s="4"/>
      <c r="B28" s="4"/>
      <c r="C28" s="4"/>
    </row>
    <row r="29" spans="1:6" ht="18.75" x14ac:dyDescent="0.3">
      <c r="A29" s="4"/>
      <c r="B29" s="4"/>
      <c r="C29" s="4"/>
    </row>
  </sheetData>
  <mergeCells count="8">
    <mergeCell ref="A22:C22"/>
    <mergeCell ref="D22:E22"/>
    <mergeCell ref="A1:E1"/>
    <mergeCell ref="E2:E6"/>
    <mergeCell ref="D2:D6"/>
    <mergeCell ref="A2:A6"/>
    <mergeCell ref="B2:B6"/>
    <mergeCell ref="C2:C6"/>
  </mergeCell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9"/>
  <sheetViews>
    <sheetView showZeros="0" view="pageBreakPreview" zoomScale="89" zoomScaleNormal="100" zoomScaleSheetLayoutView="89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I22" sqref="I22:J22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21.140625" style="1" customWidth="1"/>
    <col min="4" max="4" width="16.28515625" style="1" customWidth="1"/>
    <col min="5" max="5" width="18.7109375" style="1" customWidth="1"/>
    <col min="6" max="6" width="15.5703125" style="1" customWidth="1"/>
    <col min="7" max="7" width="20" style="1" customWidth="1"/>
    <col min="8" max="8" width="17.42578125" style="1" customWidth="1"/>
    <col min="9" max="9" width="19.7109375" style="1" customWidth="1"/>
    <col min="10" max="10" width="13.7109375" style="1" customWidth="1"/>
    <col min="11" max="16384" width="9.140625" style="1"/>
  </cols>
  <sheetData>
    <row r="1" spans="1:37" ht="30" customHeight="1" thickBot="1" x14ac:dyDescent="0.25">
      <c r="A1" s="234" t="s">
        <v>56</v>
      </c>
      <c r="B1" s="234"/>
      <c r="C1" s="234"/>
      <c r="D1" s="234"/>
      <c r="E1" s="234"/>
      <c r="F1" s="234"/>
      <c r="G1" s="234"/>
      <c r="H1" s="234"/>
      <c r="I1" s="234"/>
    </row>
    <row r="2" spans="1:37" ht="12.75" customHeight="1" x14ac:dyDescent="0.2">
      <c r="A2" s="236"/>
      <c r="B2" s="239" t="s">
        <v>19</v>
      </c>
      <c r="C2" s="235" t="s">
        <v>118</v>
      </c>
      <c r="D2" s="235" t="s">
        <v>61</v>
      </c>
      <c r="E2" s="235" t="s">
        <v>67</v>
      </c>
      <c r="F2" s="235" t="s">
        <v>61</v>
      </c>
      <c r="G2" s="235" t="s">
        <v>96</v>
      </c>
      <c r="H2" s="235" t="s">
        <v>61</v>
      </c>
      <c r="I2" s="231" t="s">
        <v>99</v>
      </c>
      <c r="J2" s="235" t="s">
        <v>61</v>
      </c>
    </row>
    <row r="3" spans="1:37" ht="12.75" customHeight="1" x14ac:dyDescent="0.2">
      <c r="A3" s="237"/>
      <c r="B3" s="227" t="s">
        <v>0</v>
      </c>
      <c r="C3" s="221"/>
      <c r="D3" s="221"/>
      <c r="E3" s="221"/>
      <c r="F3" s="221"/>
      <c r="G3" s="221"/>
      <c r="H3" s="221"/>
      <c r="I3" s="232"/>
      <c r="J3" s="221"/>
    </row>
    <row r="4" spans="1:37" ht="15.75" customHeight="1" x14ac:dyDescent="0.2">
      <c r="A4" s="237"/>
      <c r="B4" s="227" t="s">
        <v>1</v>
      </c>
      <c r="C4" s="221"/>
      <c r="D4" s="221"/>
      <c r="E4" s="221"/>
      <c r="F4" s="221"/>
      <c r="G4" s="221"/>
      <c r="H4" s="221"/>
      <c r="I4" s="232"/>
      <c r="J4" s="221"/>
    </row>
    <row r="5" spans="1:37" ht="16.5" customHeight="1" x14ac:dyDescent="0.2">
      <c r="A5" s="237"/>
      <c r="B5" s="227"/>
      <c r="C5" s="221"/>
      <c r="D5" s="221"/>
      <c r="E5" s="221"/>
      <c r="F5" s="221"/>
      <c r="G5" s="221"/>
      <c r="H5" s="221"/>
      <c r="I5" s="232"/>
      <c r="J5" s="221"/>
    </row>
    <row r="6" spans="1:37" ht="151.9" customHeight="1" x14ac:dyDescent="0.2">
      <c r="A6" s="238"/>
      <c r="B6" s="227"/>
      <c r="C6" s="222"/>
      <c r="D6" s="222"/>
      <c r="E6" s="222"/>
      <c r="F6" s="222"/>
      <c r="G6" s="222"/>
      <c r="H6" s="222"/>
      <c r="I6" s="233"/>
      <c r="J6" s="222"/>
    </row>
    <row r="7" spans="1:37" ht="18.75" customHeight="1" x14ac:dyDescent="0.25">
      <c r="A7" s="19"/>
      <c r="B7" s="13">
        <v>1</v>
      </c>
      <c r="C7" s="41">
        <v>2</v>
      </c>
      <c r="D7" s="41" t="s">
        <v>68</v>
      </c>
      <c r="E7" s="41">
        <v>4</v>
      </c>
      <c r="F7" s="41" t="s">
        <v>97</v>
      </c>
      <c r="G7" s="41">
        <v>6</v>
      </c>
      <c r="H7" s="41" t="s">
        <v>65</v>
      </c>
      <c r="I7" s="22">
        <v>8</v>
      </c>
      <c r="J7" s="40" t="s">
        <v>98</v>
      </c>
      <c r="K7" s="7"/>
      <c r="L7" s="7"/>
    </row>
    <row r="8" spans="1:37" s="2" customFormat="1" ht="30" customHeight="1" x14ac:dyDescent="0.25">
      <c r="A8" s="23">
        <v>1</v>
      </c>
      <c r="B8" s="42" t="s">
        <v>14</v>
      </c>
      <c r="C8" s="143">
        <v>1</v>
      </c>
      <c r="D8" s="143">
        <f>C8*0.05</f>
        <v>0.05</v>
      </c>
      <c r="E8" s="143">
        <v>1</v>
      </c>
      <c r="F8" s="144">
        <f>E8*0.05</f>
        <v>0.05</v>
      </c>
      <c r="G8" s="144"/>
      <c r="H8" s="144">
        <f>G8*0.05</f>
        <v>0</v>
      </c>
      <c r="I8" s="139">
        <v>1</v>
      </c>
      <c r="J8" s="145">
        <f>I8*0.05</f>
        <v>0.05</v>
      </c>
      <c r="K8" s="16"/>
      <c r="L8" s="16"/>
      <c r="M8" s="29"/>
      <c r="N8" s="29"/>
      <c r="O8" s="29"/>
      <c r="P8" s="29"/>
      <c r="Q8" s="29"/>
      <c r="R8" s="29"/>
      <c r="S8" s="29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2" customFormat="1" ht="30" customHeight="1" x14ac:dyDescent="0.25">
      <c r="A9" s="25">
        <f t="shared" ref="A9:A15" si="0">A8+1</f>
        <v>2</v>
      </c>
      <c r="B9" s="43" t="s">
        <v>3</v>
      </c>
      <c r="C9" s="146">
        <v>1</v>
      </c>
      <c r="D9" s="143">
        <f t="shared" ref="D9:D19" si="1">C9*0.05</f>
        <v>0.05</v>
      </c>
      <c r="E9" s="146">
        <v>1</v>
      </c>
      <c r="F9" s="144">
        <f t="shared" ref="F9:F19" si="2">E9*0.05</f>
        <v>0.05</v>
      </c>
      <c r="G9" s="147">
        <v>0</v>
      </c>
      <c r="H9" s="144">
        <f t="shared" ref="H9:H19" si="3">G9*0.05</f>
        <v>0</v>
      </c>
      <c r="I9" s="139">
        <v>1</v>
      </c>
      <c r="J9" s="145">
        <f t="shared" ref="J9:J19" si="4">I9*0.05</f>
        <v>0.05</v>
      </c>
      <c r="K9" s="16"/>
      <c r="L9" s="16"/>
    </row>
    <row r="10" spans="1:37" s="2" customFormat="1" ht="29.25" customHeight="1" x14ac:dyDescent="0.25">
      <c r="A10" s="25">
        <f t="shared" si="0"/>
        <v>3</v>
      </c>
      <c r="B10" s="43" t="s">
        <v>4</v>
      </c>
      <c r="C10" s="146">
        <v>1</v>
      </c>
      <c r="D10" s="143">
        <f t="shared" si="1"/>
        <v>0.05</v>
      </c>
      <c r="E10" s="146">
        <v>1</v>
      </c>
      <c r="F10" s="144">
        <f t="shared" si="2"/>
        <v>0.05</v>
      </c>
      <c r="G10" s="257"/>
      <c r="H10" s="144">
        <f t="shared" si="3"/>
        <v>0</v>
      </c>
      <c r="I10" s="139">
        <v>1</v>
      </c>
      <c r="J10" s="145">
        <f t="shared" si="4"/>
        <v>0.05</v>
      </c>
      <c r="K10" s="16"/>
      <c r="L10" s="16"/>
      <c r="M10" s="8"/>
      <c r="N10" s="8"/>
    </row>
    <row r="11" spans="1:37" s="2" customFormat="1" ht="28.5" customHeight="1" x14ac:dyDescent="0.25">
      <c r="A11" s="25">
        <f t="shared" si="0"/>
        <v>4</v>
      </c>
      <c r="B11" s="43" t="s">
        <v>5</v>
      </c>
      <c r="C11" s="146">
        <v>1</v>
      </c>
      <c r="D11" s="143">
        <f t="shared" si="1"/>
        <v>0.05</v>
      </c>
      <c r="E11" s="146">
        <v>1</v>
      </c>
      <c r="F11" s="144">
        <f t="shared" si="2"/>
        <v>0.05</v>
      </c>
      <c r="G11" s="257">
        <v>0</v>
      </c>
      <c r="H11" s="144">
        <f t="shared" si="3"/>
        <v>0</v>
      </c>
      <c r="I11" s="139">
        <v>1</v>
      </c>
      <c r="J11" s="145">
        <f t="shared" si="4"/>
        <v>0.05</v>
      </c>
      <c r="K11" s="16"/>
      <c r="L11" s="16"/>
    </row>
    <row r="12" spans="1:37" s="2" customFormat="1" ht="28.5" customHeight="1" x14ac:dyDescent="0.25">
      <c r="A12" s="25">
        <f t="shared" si="0"/>
        <v>5</v>
      </c>
      <c r="B12" s="43" t="s">
        <v>6</v>
      </c>
      <c r="C12" s="146">
        <v>1</v>
      </c>
      <c r="D12" s="143">
        <f t="shared" si="1"/>
        <v>0.05</v>
      </c>
      <c r="E12" s="146">
        <v>1</v>
      </c>
      <c r="F12" s="144">
        <f t="shared" si="2"/>
        <v>0.05</v>
      </c>
      <c r="G12" s="257"/>
      <c r="H12" s="144">
        <f t="shared" si="3"/>
        <v>0</v>
      </c>
      <c r="I12" s="139">
        <v>1</v>
      </c>
      <c r="J12" s="145">
        <f t="shared" si="4"/>
        <v>0.05</v>
      </c>
      <c r="K12" s="16"/>
      <c r="L12" s="16"/>
    </row>
    <row r="13" spans="1:37" s="2" customFormat="1" ht="27.75" customHeight="1" x14ac:dyDescent="0.25">
      <c r="A13" s="25">
        <f t="shared" si="0"/>
        <v>6</v>
      </c>
      <c r="B13" s="43" t="s">
        <v>7</v>
      </c>
      <c r="C13" s="146">
        <v>1</v>
      </c>
      <c r="D13" s="143">
        <f t="shared" si="1"/>
        <v>0.05</v>
      </c>
      <c r="E13" s="146">
        <v>1</v>
      </c>
      <c r="F13" s="144">
        <f t="shared" si="2"/>
        <v>0.05</v>
      </c>
      <c r="G13" s="257">
        <v>1</v>
      </c>
      <c r="H13" s="144">
        <f t="shared" si="3"/>
        <v>0.05</v>
      </c>
      <c r="I13" s="139">
        <v>1</v>
      </c>
      <c r="J13" s="145">
        <f t="shared" si="4"/>
        <v>0.05</v>
      </c>
      <c r="K13" s="16"/>
      <c r="L13" s="16"/>
    </row>
    <row r="14" spans="1:37" s="2" customFormat="1" ht="27" customHeight="1" x14ac:dyDescent="0.25">
      <c r="A14" s="25">
        <f t="shared" si="0"/>
        <v>7</v>
      </c>
      <c r="B14" s="43" t="s">
        <v>8</v>
      </c>
      <c r="C14" s="146">
        <v>1</v>
      </c>
      <c r="D14" s="143">
        <f t="shared" si="1"/>
        <v>0.05</v>
      </c>
      <c r="E14" s="146">
        <v>1</v>
      </c>
      <c r="F14" s="144">
        <f t="shared" si="2"/>
        <v>0.05</v>
      </c>
      <c r="G14" s="257"/>
      <c r="H14" s="144">
        <f t="shared" si="3"/>
        <v>0</v>
      </c>
      <c r="I14" s="139">
        <v>1</v>
      </c>
      <c r="J14" s="145">
        <f t="shared" si="4"/>
        <v>0.05</v>
      </c>
      <c r="K14" s="16"/>
      <c r="L14" s="16"/>
    </row>
    <row r="15" spans="1:37" s="2" customFormat="1" ht="27.75" customHeight="1" x14ac:dyDescent="0.25">
      <c r="A15" s="25">
        <f t="shared" si="0"/>
        <v>8</v>
      </c>
      <c r="B15" s="43" t="s">
        <v>9</v>
      </c>
      <c r="C15" s="146">
        <v>1</v>
      </c>
      <c r="D15" s="143">
        <f t="shared" si="1"/>
        <v>0.05</v>
      </c>
      <c r="E15" s="146">
        <v>1</v>
      </c>
      <c r="F15" s="144">
        <f t="shared" si="2"/>
        <v>0.05</v>
      </c>
      <c r="G15" s="257"/>
      <c r="H15" s="144">
        <f t="shared" si="3"/>
        <v>0</v>
      </c>
      <c r="I15" s="139">
        <v>1</v>
      </c>
      <c r="J15" s="145">
        <f t="shared" si="4"/>
        <v>0.05</v>
      </c>
      <c r="K15" s="16"/>
      <c r="L15" s="16"/>
    </row>
    <row r="16" spans="1:37" s="2" customFormat="1" ht="31.5" customHeight="1" x14ac:dyDescent="0.25">
      <c r="A16" s="25">
        <v>9</v>
      </c>
      <c r="B16" s="43" t="s">
        <v>10</v>
      </c>
      <c r="C16" s="146">
        <v>1</v>
      </c>
      <c r="D16" s="143">
        <f t="shared" si="1"/>
        <v>0.05</v>
      </c>
      <c r="E16" s="146">
        <v>1</v>
      </c>
      <c r="F16" s="144">
        <f t="shared" si="2"/>
        <v>0.05</v>
      </c>
      <c r="G16" s="257"/>
      <c r="H16" s="144">
        <f t="shared" si="3"/>
        <v>0</v>
      </c>
      <c r="I16" s="139">
        <v>1</v>
      </c>
      <c r="J16" s="145">
        <f t="shared" si="4"/>
        <v>0.05</v>
      </c>
      <c r="K16" s="16"/>
      <c r="L16" s="16"/>
    </row>
    <row r="17" spans="1:12" s="2" customFormat="1" ht="27.75" customHeight="1" x14ac:dyDescent="0.25">
      <c r="A17" s="25">
        <v>10</v>
      </c>
      <c r="B17" s="43" t="s">
        <v>11</v>
      </c>
      <c r="C17" s="146">
        <v>1</v>
      </c>
      <c r="D17" s="143">
        <f t="shared" si="1"/>
        <v>0.05</v>
      </c>
      <c r="E17" s="146">
        <v>1</v>
      </c>
      <c r="F17" s="144">
        <f>E17*0.05</f>
        <v>0.05</v>
      </c>
      <c r="G17" s="257">
        <v>1</v>
      </c>
      <c r="H17" s="144">
        <f t="shared" si="3"/>
        <v>0.05</v>
      </c>
      <c r="I17" s="139">
        <v>1</v>
      </c>
      <c r="J17" s="145">
        <f t="shared" si="4"/>
        <v>0.05</v>
      </c>
      <c r="K17" s="16"/>
      <c r="L17" s="16"/>
    </row>
    <row r="18" spans="1:12" s="2" customFormat="1" ht="28.5" customHeight="1" x14ac:dyDescent="0.25">
      <c r="A18" s="25">
        <v>11</v>
      </c>
      <c r="B18" s="43" t="s">
        <v>12</v>
      </c>
      <c r="C18" s="146">
        <v>1</v>
      </c>
      <c r="D18" s="143">
        <f t="shared" si="1"/>
        <v>0.05</v>
      </c>
      <c r="E18" s="146">
        <v>1</v>
      </c>
      <c r="F18" s="144">
        <f t="shared" si="2"/>
        <v>0.05</v>
      </c>
      <c r="G18" s="257">
        <v>1</v>
      </c>
      <c r="H18" s="144">
        <f t="shared" si="3"/>
        <v>0.05</v>
      </c>
      <c r="I18" s="139">
        <v>1</v>
      </c>
      <c r="J18" s="145">
        <f t="shared" si="4"/>
        <v>0.05</v>
      </c>
      <c r="K18" s="16"/>
      <c r="L18" s="16"/>
    </row>
    <row r="19" spans="1:12" s="2" customFormat="1" ht="26.25" customHeight="1" thickBot="1" x14ac:dyDescent="0.3">
      <c r="A19" s="25">
        <v>12</v>
      </c>
      <c r="B19" s="44" t="s">
        <v>13</v>
      </c>
      <c r="C19" s="148">
        <v>1</v>
      </c>
      <c r="D19" s="149">
        <f t="shared" si="1"/>
        <v>0.05</v>
      </c>
      <c r="E19" s="148">
        <v>0</v>
      </c>
      <c r="F19" s="144">
        <f t="shared" si="2"/>
        <v>0</v>
      </c>
      <c r="G19" s="258"/>
      <c r="H19" s="144">
        <f t="shared" si="3"/>
        <v>0</v>
      </c>
      <c r="I19" s="140">
        <v>1</v>
      </c>
      <c r="J19" s="145">
        <f t="shared" si="4"/>
        <v>0.05</v>
      </c>
      <c r="K19" s="16"/>
      <c r="L19" s="16"/>
    </row>
    <row r="20" spans="1:12" s="2" customFormat="1" ht="30.75" customHeight="1" thickBot="1" x14ac:dyDescent="0.3">
      <c r="A20" s="31"/>
      <c r="B20" s="33" t="s">
        <v>2</v>
      </c>
      <c r="C20" s="45">
        <f>SUM(C8:C19)</f>
        <v>12</v>
      </c>
      <c r="D20" s="45">
        <f t="shared" ref="D20:J20" si="5">SUM(D8:D19)</f>
        <v>0.6</v>
      </c>
      <c r="E20" s="45">
        <f t="shared" si="5"/>
        <v>11</v>
      </c>
      <c r="F20" s="45">
        <f t="shared" si="5"/>
        <v>0.54999999999999993</v>
      </c>
      <c r="G20" s="45">
        <f t="shared" si="5"/>
        <v>3</v>
      </c>
      <c r="H20" s="45">
        <f t="shared" si="5"/>
        <v>0.15000000000000002</v>
      </c>
      <c r="I20" s="45">
        <f t="shared" si="5"/>
        <v>12</v>
      </c>
      <c r="J20" s="45">
        <f t="shared" si="5"/>
        <v>0.6</v>
      </c>
      <c r="K20" s="16"/>
      <c r="L20" s="16"/>
    </row>
    <row r="21" spans="1:12" ht="15.75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12" ht="18.75" x14ac:dyDescent="0.3">
      <c r="A22" s="230" t="s">
        <v>132</v>
      </c>
      <c r="B22" s="230"/>
      <c r="C22" s="230"/>
      <c r="D22" s="230"/>
      <c r="E22" s="230"/>
      <c r="F22" s="230"/>
      <c r="G22" s="230"/>
      <c r="H22" s="230"/>
      <c r="I22" s="219" t="s">
        <v>124</v>
      </c>
      <c r="J22" s="219"/>
    </row>
    <row r="23" spans="1:12" ht="15.75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15.75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12" ht="15.75" x14ac:dyDescent="0.25">
      <c r="A25" s="17"/>
      <c r="B25" s="5"/>
      <c r="C25" s="5"/>
      <c r="D25" s="5"/>
      <c r="E25" s="5"/>
      <c r="F25" s="5"/>
      <c r="G25" s="5"/>
      <c r="H25" s="5"/>
      <c r="I25" s="17"/>
    </row>
    <row r="26" spans="1:12" ht="18.75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12" ht="18.75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12" ht="18.75" x14ac:dyDescent="0.3">
      <c r="A28" s="4"/>
      <c r="B28" s="4"/>
      <c r="C28" s="4"/>
      <c r="D28" s="4"/>
      <c r="E28" s="4"/>
      <c r="F28" s="4"/>
      <c r="G28" s="4"/>
      <c r="H28" s="4"/>
      <c r="I28" s="4"/>
    </row>
    <row r="29" spans="1:12" ht="18.75" x14ac:dyDescent="0.3">
      <c r="A29" s="4"/>
      <c r="B29" s="4"/>
      <c r="C29" s="4"/>
      <c r="D29" s="4"/>
      <c r="E29" s="4"/>
      <c r="F29" s="4"/>
      <c r="G29" s="4"/>
      <c r="H29" s="4"/>
      <c r="I29" s="4"/>
    </row>
  </sheetData>
  <mergeCells count="13">
    <mergeCell ref="A22:H22"/>
    <mergeCell ref="I22:J22"/>
    <mergeCell ref="A1:I1"/>
    <mergeCell ref="A2:A6"/>
    <mergeCell ref="B2:B6"/>
    <mergeCell ref="I2:I6"/>
    <mergeCell ref="J2:J6"/>
    <mergeCell ref="C2:C6"/>
    <mergeCell ref="E2:E6"/>
    <mergeCell ref="G2:G6"/>
    <mergeCell ref="D2:D6"/>
    <mergeCell ref="F2:F6"/>
    <mergeCell ref="H2:H6"/>
  </mergeCell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showZeros="0" tabSelected="1" view="pageBreakPreview" zoomScaleNormal="100" zoomScaleSheetLayoutView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B8" sqref="AB8"/>
    </sheetView>
  </sheetViews>
  <sheetFormatPr defaultColWidth="9.140625" defaultRowHeight="12.75" x14ac:dyDescent="0.2"/>
  <cols>
    <col min="1" max="1" width="13" style="1" customWidth="1"/>
    <col min="2" max="2" width="7.28515625" style="1" customWidth="1"/>
    <col min="3" max="3" width="7.140625" style="1" customWidth="1"/>
    <col min="4" max="4" width="7.42578125" style="1" customWidth="1"/>
    <col min="5" max="5" width="6.5703125" style="1" customWidth="1"/>
    <col min="6" max="6" width="7.85546875" style="1" customWidth="1"/>
    <col min="7" max="7" width="6.42578125" style="1" customWidth="1"/>
    <col min="8" max="8" width="6.5703125" style="1" customWidth="1"/>
    <col min="9" max="9" width="6.7109375" style="1" customWidth="1"/>
    <col min="10" max="10" width="6.5703125" style="1" customWidth="1"/>
    <col min="11" max="11" width="6.7109375" style="1" customWidth="1"/>
    <col min="12" max="12" width="6" style="1" customWidth="1"/>
    <col min="13" max="14" width="6.42578125" style="1" customWidth="1"/>
    <col min="15" max="15" width="11" style="1" customWidth="1"/>
    <col min="16" max="16" width="7.140625" style="1" hidden="1" customWidth="1"/>
    <col min="17" max="17" width="7.140625" style="1" customWidth="1"/>
    <col min="18" max="18" width="6.5703125" style="1" customWidth="1"/>
    <col min="19" max="19" width="7.140625" style="1" customWidth="1"/>
    <col min="20" max="20" width="6.42578125" style="1" customWidth="1"/>
    <col min="21" max="21" width="7.140625" style="1" customWidth="1"/>
    <col min="22" max="22" width="6.140625" style="1" customWidth="1"/>
    <col min="23" max="23" width="13" style="1" customWidth="1"/>
    <col min="24" max="24" width="10.42578125" style="1" customWidth="1"/>
    <col min="25" max="16384" width="9.140625" style="1"/>
  </cols>
  <sheetData>
    <row r="1" spans="1:47" ht="30" customHeight="1" thickBot="1" x14ac:dyDescent="0.25">
      <c r="A1" s="234" t="s">
        <v>133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47" ht="12.75" customHeight="1" x14ac:dyDescent="0.2">
      <c r="A2" s="244" t="s">
        <v>19</v>
      </c>
      <c r="B2" s="245" t="s">
        <v>72</v>
      </c>
      <c r="C2" s="245"/>
      <c r="D2" s="245"/>
      <c r="E2" s="245"/>
      <c r="F2" s="245" t="s">
        <v>73</v>
      </c>
      <c r="G2" s="245"/>
      <c r="H2" s="245" t="s">
        <v>79</v>
      </c>
      <c r="I2" s="245"/>
      <c r="J2" s="245"/>
      <c r="K2" s="245" t="s">
        <v>84</v>
      </c>
      <c r="L2" s="245"/>
      <c r="M2" s="245"/>
      <c r="N2" s="245"/>
      <c r="O2" s="245" t="s">
        <v>87</v>
      </c>
      <c r="P2" s="245"/>
      <c r="Q2" s="245" t="s">
        <v>94</v>
      </c>
      <c r="R2" s="245"/>
      <c r="S2" s="245" t="s">
        <v>56</v>
      </c>
      <c r="T2" s="245"/>
      <c r="U2" s="245"/>
      <c r="V2" s="253"/>
      <c r="W2" s="250" t="s">
        <v>95</v>
      </c>
    </row>
    <row r="3" spans="1:47" ht="12.75" customHeight="1" x14ac:dyDescent="0.2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53"/>
      <c r="W3" s="251"/>
    </row>
    <row r="4" spans="1:47" ht="66.75" customHeight="1" x14ac:dyDescent="0.2">
      <c r="A4" s="245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53"/>
      <c r="W4" s="251"/>
      <c r="X4" s="190" t="s">
        <v>119</v>
      </c>
    </row>
    <row r="5" spans="1:47" ht="16.5" customHeight="1" x14ac:dyDescent="0.2">
      <c r="A5" s="245"/>
      <c r="B5" s="246" t="s">
        <v>69</v>
      </c>
      <c r="C5" s="246" t="s">
        <v>70</v>
      </c>
      <c r="D5" s="246" t="s">
        <v>106</v>
      </c>
      <c r="E5" s="246" t="s">
        <v>71</v>
      </c>
      <c r="F5" s="246" t="s">
        <v>74</v>
      </c>
      <c r="G5" s="246" t="s">
        <v>75</v>
      </c>
      <c r="H5" s="246" t="s">
        <v>76</v>
      </c>
      <c r="I5" s="246" t="s">
        <v>77</v>
      </c>
      <c r="J5" s="246" t="s">
        <v>78</v>
      </c>
      <c r="K5" s="246" t="s">
        <v>80</v>
      </c>
      <c r="L5" s="246" t="s">
        <v>81</v>
      </c>
      <c r="M5" s="246" t="s">
        <v>82</v>
      </c>
      <c r="N5" s="246" t="s">
        <v>83</v>
      </c>
      <c r="O5" s="246" t="s">
        <v>85</v>
      </c>
      <c r="P5" s="246" t="s">
        <v>86</v>
      </c>
      <c r="Q5" s="246" t="s">
        <v>88</v>
      </c>
      <c r="R5" s="246" t="s">
        <v>89</v>
      </c>
      <c r="S5" s="246" t="s">
        <v>90</v>
      </c>
      <c r="T5" s="246" t="s">
        <v>91</v>
      </c>
      <c r="U5" s="246" t="s">
        <v>92</v>
      </c>
      <c r="V5" s="249" t="s">
        <v>93</v>
      </c>
      <c r="W5" s="251"/>
    </row>
    <row r="6" spans="1:47" ht="26.25" customHeight="1" x14ac:dyDescent="0.2">
      <c r="A6" s="245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9"/>
      <c r="W6" s="251"/>
    </row>
    <row r="7" spans="1:47" ht="18.75" customHeight="1" x14ac:dyDescent="0.25">
      <c r="A7" s="13">
        <v>1</v>
      </c>
      <c r="B7" s="41">
        <v>2</v>
      </c>
      <c r="C7" s="41">
        <v>3</v>
      </c>
      <c r="D7" s="41">
        <v>4</v>
      </c>
      <c r="E7" s="41">
        <v>5</v>
      </c>
      <c r="F7" s="22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18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55">
        <v>21</v>
      </c>
      <c r="W7" s="252"/>
    </row>
    <row r="8" spans="1:47" s="2" customFormat="1" ht="30" customHeight="1" x14ac:dyDescent="0.2">
      <c r="A8" s="56" t="s">
        <v>14</v>
      </c>
      <c r="B8" s="60">
        <f>'отнош. дефицита'!G8</f>
        <v>3.2277300037545809E-2</v>
      </c>
      <c r="C8" s="59">
        <f>'отношение мун. долга'!G8</f>
        <v>1.9209759094074082E-2</v>
      </c>
      <c r="D8" s="61">
        <f>'отнош. расх. на обслуж.'!I8</f>
        <v>3.6377780233176824E-2</v>
      </c>
      <c r="E8" s="61">
        <f>'доля расх. на сод. аппарата'!G8</f>
        <v>4.2990960596404424E-3</v>
      </c>
      <c r="F8" s="62">
        <f>'сниж. дотационности'!G8</f>
        <v>0.05</v>
      </c>
      <c r="G8" s="62">
        <f>'доля кр. зад.'!G8</f>
        <v>0.05</v>
      </c>
      <c r="H8" s="62">
        <f>'Динам. нал. дох.'!G8</f>
        <v>1.1206159814369218E-2</v>
      </c>
      <c r="I8" s="62">
        <f>'Динамика недоимки'!G8</f>
        <v>4.6146058822501924E-2</v>
      </c>
      <c r="J8" s="62">
        <f>'доходы от аренды'!G8</f>
        <v>3.4083542473491331E-2</v>
      </c>
      <c r="K8" s="62">
        <f>'факт. расх.'!G8</f>
        <v>1.8322847657761137E-2</v>
      </c>
      <c r="L8" s="62">
        <f>программы!G8</f>
        <v>2.6103679190449283E-2</v>
      </c>
      <c r="M8" s="62">
        <f>МЗ!G8</f>
        <v>3.7377545833858668E-2</v>
      </c>
      <c r="N8" s="62">
        <f>'расх. на аппарат'!G8</f>
        <v>3.7049316191657487E-2</v>
      </c>
      <c r="O8" s="62">
        <f>'сокращение муниципального долга'!G8</f>
        <v>0</v>
      </c>
      <c r="P8" s="62" t="e">
        <f>#REF!</f>
        <v>#REF!</v>
      </c>
      <c r="Q8" s="62">
        <f>'исполнение по доходам'!G8</f>
        <v>1.1911096309226734E-2</v>
      </c>
      <c r="R8" s="62">
        <f>Равномерность!E8</f>
        <v>4.3494423791821557E-2</v>
      </c>
      <c r="S8" s="62">
        <f>'Прозрачность бюджета'!D8</f>
        <v>0.05</v>
      </c>
      <c r="T8" s="62">
        <f>'Прозрачность бюджета'!F8</f>
        <v>0.05</v>
      </c>
      <c r="U8" s="62">
        <f>'Прозрачность бюджета'!H8</f>
        <v>0</v>
      </c>
      <c r="V8" s="63">
        <f>'Прозрачность бюджета'!J8</f>
        <v>0.05</v>
      </c>
      <c r="W8" s="67">
        <f t="shared" ref="W8:W19" si="0">B8+C8+D8+E8+F8+G8+H8+I8+J8+K8+L8+M8+N8+O8+Q8+R8+S8+T8+U8+V8</f>
        <v>0.6078586055095746</v>
      </c>
      <c r="X8" s="187">
        <f>W8/$W$13*100</f>
        <v>75.165728998218569</v>
      </c>
      <c r="Y8" s="29"/>
      <c r="Z8" s="29"/>
      <c r="AA8" s="29"/>
      <c r="AB8" s="29"/>
      <c r="AC8" s="29"/>
      <c r="AD8" s="2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s="2" customFormat="1" ht="30" customHeight="1" x14ac:dyDescent="0.2">
      <c r="A9" s="57" t="s">
        <v>3</v>
      </c>
      <c r="B9" s="60">
        <f>'отнош. дефицита'!G9</f>
        <v>0.05</v>
      </c>
      <c r="C9" s="59">
        <f>'отношение мун. долга'!G9</f>
        <v>0.05</v>
      </c>
      <c r="D9" s="61">
        <f>'отнош. расх. на обслуж.'!I9</f>
        <v>4.4543698816637875E-2</v>
      </c>
      <c r="E9" s="61">
        <f>'доля расх. на сод. аппарата'!G9</f>
        <v>0</v>
      </c>
      <c r="F9" s="62">
        <f>'сниж. дотационности'!G9</f>
        <v>2.4698612891512581E-2</v>
      </c>
      <c r="G9" s="62">
        <f>'доля кр. зад.'!G9</f>
        <v>0.05</v>
      </c>
      <c r="H9" s="62">
        <f>'Динам. нал. дох.'!G9</f>
        <v>1.451693967908774E-2</v>
      </c>
      <c r="I9" s="62">
        <f>'Динамика недоимки'!G9</f>
        <v>4.5825906675944945E-2</v>
      </c>
      <c r="J9" s="62">
        <f>'доходы от аренды'!G9</f>
        <v>1.1957843268589697E-4</v>
      </c>
      <c r="K9" s="62">
        <f>'факт. расх.'!G9</f>
        <v>4.676876464036632E-2</v>
      </c>
      <c r="L9" s="62">
        <f>программы!G9</f>
        <v>3.1006766471483441E-2</v>
      </c>
      <c r="M9" s="62">
        <f>МЗ!G9</f>
        <v>5.8081885263981435E-3</v>
      </c>
      <c r="N9" s="62">
        <f>'расх. на аппарат'!G9</f>
        <v>5.3123958157177409E-3</v>
      </c>
      <c r="O9" s="62">
        <f>'сокращение муниципального долга'!G9</f>
        <v>0.05</v>
      </c>
      <c r="P9" s="62" t="e">
        <f>#REF!</f>
        <v>#REF!</v>
      </c>
      <c r="Q9" s="62">
        <f>'исполнение по доходам'!G9</f>
        <v>1.5202027650717584E-2</v>
      </c>
      <c r="R9" s="62">
        <f>Равномерность!E9</f>
        <v>3.8289962825278807E-2</v>
      </c>
      <c r="S9" s="62">
        <f>'Прозрачность бюджета'!D9</f>
        <v>0.05</v>
      </c>
      <c r="T9" s="62">
        <f>'Прозрачность бюджета'!F9</f>
        <v>0.05</v>
      </c>
      <c r="U9" s="62">
        <f>'Прозрачность бюджета'!H9</f>
        <v>0</v>
      </c>
      <c r="V9" s="63">
        <f>'Прозрачность бюджета'!J9</f>
        <v>0.05</v>
      </c>
      <c r="W9" s="67">
        <f t="shared" si="0"/>
        <v>0.62209284242583118</v>
      </c>
      <c r="X9" s="187">
        <f t="shared" ref="X9:X19" si="1">W9/$W$13*100</f>
        <v>76.925886351994706</v>
      </c>
    </row>
    <row r="10" spans="1:47" s="2" customFormat="1" ht="29.25" customHeight="1" x14ac:dyDescent="0.2">
      <c r="A10" s="57" t="s">
        <v>4</v>
      </c>
      <c r="B10" s="60">
        <f>'отнош. дефицита'!G10</f>
        <v>0.05</v>
      </c>
      <c r="C10" s="59">
        <f>'отношение мун. долга'!G10</f>
        <v>0.05</v>
      </c>
      <c r="D10" s="61">
        <f>'отнош. расх. на обслуж.'!I10</f>
        <v>0.05</v>
      </c>
      <c r="E10" s="61">
        <f>'доля расх. на сод. аппарата'!G10</f>
        <v>1.6766699009607644E-2</v>
      </c>
      <c r="F10" s="62">
        <f>'сниж. дотационности'!G10</f>
        <v>2.8519343560123429E-2</v>
      </c>
      <c r="G10" s="62">
        <f>'доля кр. зад.'!G10</f>
        <v>0.05</v>
      </c>
      <c r="H10" s="62">
        <f>'Динам. нал. дох.'!G10</f>
        <v>8.9141995802233046E-3</v>
      </c>
      <c r="I10" s="62">
        <f>'Динамика недоимки'!G10</f>
        <v>3.8255910072063623E-2</v>
      </c>
      <c r="J10" s="62">
        <f>'доходы от аренды'!G10</f>
        <v>4.9998902989376835E-2</v>
      </c>
      <c r="K10" s="62">
        <f>'факт. расх.'!G10</f>
        <v>4.5045096082084665E-2</v>
      </c>
      <c r="L10" s="62">
        <f>программы!G10</f>
        <v>3.3324471737948509E-2</v>
      </c>
      <c r="M10" s="62">
        <f>МЗ!G10</f>
        <v>2.0599920902605654E-2</v>
      </c>
      <c r="N10" s="62">
        <f>'расх. на аппарат'!G10</f>
        <v>2.2125778174467065E-2</v>
      </c>
      <c r="O10" s="62">
        <f>'сокращение муниципального долга'!G10</f>
        <v>0.05</v>
      </c>
      <c r="P10" s="62" t="e">
        <f>#REF!</f>
        <v>#REF!</v>
      </c>
      <c r="Q10" s="62">
        <f>'исполнение по доходам'!G10</f>
        <v>1.2949583419189368E-2</v>
      </c>
      <c r="R10" s="62">
        <f>Равномерность!E10</f>
        <v>4.8884758364312268E-2</v>
      </c>
      <c r="S10" s="62">
        <f>'Прозрачность бюджета'!D10</f>
        <v>0.05</v>
      </c>
      <c r="T10" s="62">
        <f>'Прозрачность бюджета'!F10</f>
        <v>0.05</v>
      </c>
      <c r="U10" s="62">
        <f>'Прозрачность бюджета'!H10</f>
        <v>0</v>
      </c>
      <c r="V10" s="63">
        <f>'Прозрачность бюджета'!J10</f>
        <v>0.05</v>
      </c>
      <c r="W10" s="67">
        <f t="shared" si="0"/>
        <v>0.72538466389200262</v>
      </c>
      <c r="X10" s="187">
        <f t="shared" si="1"/>
        <v>89.69860189749555</v>
      </c>
    </row>
    <row r="11" spans="1:47" s="2" customFormat="1" ht="28.5" customHeight="1" x14ac:dyDescent="0.2">
      <c r="A11" s="57" t="s">
        <v>5</v>
      </c>
      <c r="B11" s="60">
        <f>'отнош. дефицита'!G11</f>
        <v>0.05</v>
      </c>
      <c r="C11" s="59">
        <f>'отношение мун. долга'!G11</f>
        <v>0.05</v>
      </c>
      <c r="D11" s="61">
        <f>'отнош. расх. на обслуж.'!I11</f>
        <v>0.05</v>
      </c>
      <c r="E11" s="61">
        <f>'доля расх. на сод. аппарата'!G11</f>
        <v>1.6184940752475151E-3</v>
      </c>
      <c r="F11" s="62">
        <f>'сниж. дотационности'!G11</f>
        <v>1.6441007238859454E-2</v>
      </c>
      <c r="G11" s="62">
        <f>'доля кр. зад.'!G11</f>
        <v>0.05</v>
      </c>
      <c r="H11" s="62">
        <f>'Динам. нал. дох.'!G11</f>
        <v>2.3170283420527266E-2</v>
      </c>
      <c r="I11" s="62">
        <f>'Динамика недоимки'!G11</f>
        <v>3.0536625330068259E-2</v>
      </c>
      <c r="J11" s="62">
        <f>'доходы от аренды'!G11</f>
        <v>1.3703971255641219E-6</v>
      </c>
      <c r="K11" s="62">
        <f>'факт. расх.'!G11</f>
        <v>3.949569759040801E-2</v>
      </c>
      <c r="L11" s="62">
        <f>программы!G11</f>
        <v>5.0000557583128484E-2</v>
      </c>
      <c r="M11" s="62">
        <f>МЗ!G11</f>
        <v>1.5438347083895946E-2</v>
      </c>
      <c r="N11" s="62">
        <f>'расх. на аппарат'!G11</f>
        <v>3.8807073223156074E-2</v>
      </c>
      <c r="O11" s="62"/>
      <c r="P11" s="62" t="e">
        <f>#REF!</f>
        <v>#REF!</v>
      </c>
      <c r="Q11" s="62">
        <f>'исполнение по доходам'!G11</f>
        <v>1.8559330207705175E-2</v>
      </c>
      <c r="R11" s="62">
        <f>Равномерность!E11</f>
        <v>4.0148698884758367E-2</v>
      </c>
      <c r="S11" s="62">
        <f>'Прозрачность бюджета'!D11</f>
        <v>0.05</v>
      </c>
      <c r="T11" s="62">
        <f>'Прозрачность бюджета'!F11</f>
        <v>0.05</v>
      </c>
      <c r="U11" s="62">
        <f>'Прозрачность бюджета'!H11</f>
        <v>0</v>
      </c>
      <c r="V11" s="63">
        <f>'Прозрачность бюджета'!J11</f>
        <v>0.05</v>
      </c>
      <c r="W11" s="67">
        <f t="shared" si="0"/>
        <v>0.62421748503488028</v>
      </c>
      <c r="X11" s="187">
        <f t="shared" si="1"/>
        <v>77.188612435202771</v>
      </c>
    </row>
    <row r="12" spans="1:47" s="2" customFormat="1" ht="28.5" customHeight="1" x14ac:dyDescent="0.2">
      <c r="A12" s="57" t="s">
        <v>6</v>
      </c>
      <c r="B12" s="60">
        <f>'отнош. дефицита'!G12</f>
        <v>0.05</v>
      </c>
      <c r="C12" s="59">
        <f>'отношение мун. долга'!G12</f>
        <v>0.05</v>
      </c>
      <c r="D12" s="61">
        <f>'отнош. расх. на обслуж.'!I12</f>
        <v>0.05</v>
      </c>
      <c r="E12" s="61">
        <f>'доля расх. на сод. аппарата'!G12</f>
        <v>1.1701499341847689E-3</v>
      </c>
      <c r="F12" s="62">
        <f>'сниж. дотационности'!G12</f>
        <v>0.05</v>
      </c>
      <c r="G12" s="62">
        <f>'доля кр. зад.'!G12</f>
        <v>0.05</v>
      </c>
      <c r="H12" s="62">
        <f>'Динам. нал. дох.'!G12</f>
        <v>1.8001762665628241E-7</v>
      </c>
      <c r="I12" s="62">
        <f>'Динамика недоимки'!G12</f>
        <v>4.6142668556644256E-2</v>
      </c>
      <c r="J12" s="62">
        <f>'доходы от аренды'!G12</f>
        <v>1.3648563729056479E-4</v>
      </c>
      <c r="K12" s="62">
        <f>'факт. расх.'!G12</f>
        <v>2.822609918760445E-2</v>
      </c>
      <c r="L12" s="62">
        <f>программы!G12</f>
        <v>4.6106410735423431E-2</v>
      </c>
      <c r="M12" s="62">
        <f>МЗ!G12</f>
        <v>2.4408388055481164E-2</v>
      </c>
      <c r="N12" s="62">
        <f>'расх. на аппарат'!G12</f>
        <v>1.3971036295485413E-2</v>
      </c>
      <c r="O12" s="62">
        <f>'сокращение муниципального долга'!G12</f>
        <v>0.05</v>
      </c>
      <c r="P12" s="62" t="e">
        <f>#REF!</f>
        <v>#REF!</v>
      </c>
      <c r="Q12" s="62">
        <f>'исполнение по доходам'!G12</f>
        <v>-6.0847922523382278E-8</v>
      </c>
      <c r="R12" s="62">
        <f>Равномерность!E12</f>
        <v>4.7583643122676572E-2</v>
      </c>
      <c r="S12" s="62">
        <f>'Прозрачность бюджета'!D12</f>
        <v>0.05</v>
      </c>
      <c r="T12" s="62">
        <f>'Прозрачность бюджета'!F12</f>
        <v>0.05</v>
      </c>
      <c r="U12" s="62">
        <f>'Прозрачность бюджета'!H12</f>
        <v>0</v>
      </c>
      <c r="V12" s="63">
        <f>'Прозрачность бюджета'!J12</f>
        <v>0.05</v>
      </c>
      <c r="W12" s="67">
        <f t="shared" si="0"/>
        <v>0.65774500069449493</v>
      </c>
      <c r="X12" s="187">
        <f t="shared" si="1"/>
        <v>81.334511059014275</v>
      </c>
    </row>
    <row r="13" spans="1:47" s="2" customFormat="1" ht="27.75" customHeight="1" x14ac:dyDescent="0.2">
      <c r="A13" s="57" t="s">
        <v>7</v>
      </c>
      <c r="B13" s="60">
        <f>'отнош. дефицита'!G13</f>
        <v>4.4261296873429175E-2</v>
      </c>
      <c r="C13" s="59">
        <f>'отношение мун. долга'!G13</f>
        <v>0.05</v>
      </c>
      <c r="D13" s="61">
        <f>'отнош. расх. на обслуж.'!I13</f>
        <v>4.255781058059846E-2</v>
      </c>
      <c r="E13" s="61">
        <f>'доля расх. на сод. аппарата'!G13</f>
        <v>7.9506978345958157E-3</v>
      </c>
      <c r="F13" s="62">
        <f>'сниж. дотационности'!G13</f>
        <v>3.1304155127577955E-2</v>
      </c>
      <c r="G13" s="62">
        <f>'доля кр. зад.'!G13</f>
        <v>0.05</v>
      </c>
      <c r="H13" s="62">
        <f>'Динам. нал. дох.'!G13</f>
        <v>5.0000324510071317E-2</v>
      </c>
      <c r="I13" s="62">
        <f>'Динамика недоимки'!G13</f>
        <v>4.8793856424257466E-2</v>
      </c>
      <c r="J13" s="62">
        <f>'доходы от аренды'!G13</f>
        <v>7.5978645155886267E-3</v>
      </c>
      <c r="K13" s="62">
        <f>'факт. расх.'!G13</f>
        <v>4.5766781975839999E-2</v>
      </c>
      <c r="L13" s="62">
        <f>программы!G13</f>
        <v>4.7503039823063156E-2</v>
      </c>
      <c r="M13" s="62">
        <f>МЗ!G13</f>
        <v>1.2930352028716778E-2</v>
      </c>
      <c r="N13" s="62">
        <f>'расх. на аппарат'!G13</f>
        <v>2.0024798715019828E-2</v>
      </c>
      <c r="O13" s="62">
        <f>'сокращение муниципального долга'!G13</f>
        <v>0.05</v>
      </c>
      <c r="P13" s="62" t="e">
        <f>#REF!</f>
        <v>#REF!</v>
      </c>
      <c r="Q13" s="62">
        <f>'исполнение по доходам'!G13</f>
        <v>5.0000181260537846E-2</v>
      </c>
      <c r="R13" s="62">
        <f>Равномерность!E13</f>
        <v>0.05</v>
      </c>
      <c r="S13" s="62">
        <f>'Прозрачность бюджета'!D13</f>
        <v>0.05</v>
      </c>
      <c r="T13" s="62">
        <f>'Прозрачность бюджета'!F13</f>
        <v>0.05</v>
      </c>
      <c r="U13" s="62">
        <f>'Прозрачность бюджета'!H13</f>
        <v>0.05</v>
      </c>
      <c r="V13" s="63">
        <f>'Прозрачность бюджета'!J13</f>
        <v>0.05</v>
      </c>
      <c r="W13" s="67">
        <f t="shared" si="0"/>
        <v>0.80869115966929672</v>
      </c>
      <c r="X13" s="187">
        <f t="shared" si="1"/>
        <v>100</v>
      </c>
    </row>
    <row r="14" spans="1:47" s="2" customFormat="1" ht="27" customHeight="1" x14ac:dyDescent="0.2">
      <c r="A14" s="57" t="s">
        <v>8</v>
      </c>
      <c r="B14" s="60">
        <f>'отнош. дефицита'!G14</f>
        <v>0.05</v>
      </c>
      <c r="C14" s="59">
        <f>'отношение мун. долга'!G14</f>
        <v>0</v>
      </c>
      <c r="D14" s="61">
        <f>'отнош. расх. на обслуж.'!I14</f>
        <v>1.4521338998893277E-2</v>
      </c>
      <c r="E14" s="61">
        <f>'доля расх. на сод. аппарата'!G14</f>
        <v>9.5822506981465107E-4</v>
      </c>
      <c r="F14" s="62">
        <f>'сниж. дотационности'!G14</f>
        <v>2.2393923208050611E-2</v>
      </c>
      <c r="G14" s="62">
        <f>'доля кр. зад.'!G14</f>
        <v>0.05</v>
      </c>
      <c r="H14" s="62">
        <f>'Динам. нал. дох.'!G14</f>
        <v>2.8698545731470015E-2</v>
      </c>
      <c r="I14" s="62">
        <f>'Динамика недоимки'!G14</f>
        <v>4.3469499424993729E-2</v>
      </c>
      <c r="J14" s="62">
        <f>'доходы от аренды'!G14</f>
        <v>7.0437946881506137E-3</v>
      </c>
      <c r="K14" s="62">
        <f>'факт. расх.'!G14</f>
        <v>4.6058793144962445E-2</v>
      </c>
      <c r="L14" s="62">
        <f>программы!G14</f>
        <v>8.2326252765980278E-3</v>
      </c>
      <c r="M14" s="62">
        <f>МЗ!G14</f>
        <v>6.3515186828031591E-3</v>
      </c>
      <c r="N14" s="62">
        <f>'расх. на аппарат'!G14</f>
        <v>0</v>
      </c>
      <c r="O14" s="62">
        <f>'сокращение муниципального долга'!G14</f>
        <v>2.3821989528795814E-2</v>
      </c>
      <c r="P14" s="62" t="e">
        <f>#REF!</f>
        <v>#REF!</v>
      </c>
      <c r="Q14" s="62">
        <f>'исполнение по доходам'!G14</f>
        <v>2.9706559932633783E-2</v>
      </c>
      <c r="R14" s="62">
        <f>Равномерность!E14</f>
        <v>2.7137546468401486E-2</v>
      </c>
      <c r="S14" s="62">
        <f>'Прозрачность бюджета'!D14</f>
        <v>0.05</v>
      </c>
      <c r="T14" s="62">
        <f>'Прозрачность бюджета'!F14</f>
        <v>0.05</v>
      </c>
      <c r="U14" s="62">
        <f>'Прозрачность бюджета'!H14</f>
        <v>0</v>
      </c>
      <c r="V14" s="63">
        <f>'Прозрачность бюджета'!J14</f>
        <v>0.05</v>
      </c>
      <c r="W14" s="67">
        <f t="shared" si="0"/>
        <v>0.5083943601555676</v>
      </c>
      <c r="X14" s="187">
        <f t="shared" si="1"/>
        <v>62.866318504516428</v>
      </c>
    </row>
    <row r="15" spans="1:47" s="2" customFormat="1" ht="27.75" customHeight="1" x14ac:dyDescent="0.2">
      <c r="A15" s="57" t="s">
        <v>9</v>
      </c>
      <c r="B15" s="60">
        <f>'отнош. дефицита'!G15</f>
        <v>0.05</v>
      </c>
      <c r="C15" s="59">
        <f>'отношение мун. долга'!G15</f>
        <v>1.1207269614670898E-2</v>
      </c>
      <c r="D15" s="61">
        <f>'отнош. расх. на обслуж.'!I15</f>
        <v>3.7259866370647328E-2</v>
      </c>
      <c r="E15" s="61">
        <f>'доля расх. на сод. аппарата'!G15</f>
        <v>9.087042074478178E-4</v>
      </c>
      <c r="F15" s="62">
        <f>'сниж. дотационности'!G15</f>
        <v>1.9122165959865184E-2</v>
      </c>
      <c r="G15" s="62">
        <f>'доля кр. зад.'!G15</f>
        <v>0.05</v>
      </c>
      <c r="H15" s="62">
        <f>'Динам. нал. дох.'!G15</f>
        <v>2.1521708916396595E-2</v>
      </c>
      <c r="I15" s="62">
        <f>'Динамика недоимки'!G15</f>
        <v>4.9340730752044148E-2</v>
      </c>
      <c r="J15" s="62">
        <f>'доходы от аренды'!G15</f>
        <v>1.3648815246018782E-4</v>
      </c>
      <c r="K15" s="62">
        <f>'факт. расх.'!G15</f>
        <v>4.5529559774369379E-6</v>
      </c>
      <c r="L15" s="62">
        <f>программы!G15</f>
        <v>4.3501959846908758E-2</v>
      </c>
      <c r="M15" s="62">
        <f>МЗ!G15</f>
        <v>1.88998000823846E-2</v>
      </c>
      <c r="N15" s="62">
        <f>'расх. на аппарат'!G15</f>
        <v>1.7305156647004664E-2</v>
      </c>
      <c r="O15" s="62">
        <f>'сокращение муниципального долга'!G15</f>
        <v>0</v>
      </c>
      <c r="P15" s="62" t="e">
        <f>#REF!</f>
        <v>#REF!</v>
      </c>
      <c r="Q15" s="62">
        <f>'исполнение по доходам'!G15</f>
        <v>2.4621393199248848E-2</v>
      </c>
      <c r="R15" s="62">
        <f>Равномерность!E15</f>
        <v>4.3866171003717473E-2</v>
      </c>
      <c r="S15" s="62">
        <f>'Прозрачность бюджета'!D15</f>
        <v>0.05</v>
      </c>
      <c r="T15" s="62">
        <f>'Прозрачность бюджета'!F15</f>
        <v>0.05</v>
      </c>
      <c r="U15" s="62">
        <f>'Прозрачность бюджета'!H15</f>
        <v>0</v>
      </c>
      <c r="V15" s="63">
        <f>'Прозрачность бюджета'!J15</f>
        <v>0.05</v>
      </c>
      <c r="W15" s="67">
        <f t="shared" si="0"/>
        <v>0.53769596770877393</v>
      </c>
      <c r="X15" s="187">
        <f t="shared" si="1"/>
        <v>66.489655696082721</v>
      </c>
    </row>
    <row r="16" spans="1:47" s="2" customFormat="1" ht="31.5" customHeight="1" x14ac:dyDescent="0.2">
      <c r="A16" s="57" t="s">
        <v>10</v>
      </c>
      <c r="B16" s="60">
        <f>'отнош. дефицита'!G16</f>
        <v>0.05</v>
      </c>
      <c r="C16" s="59">
        <f>'отношение мун. долга'!G16</f>
        <v>0.05</v>
      </c>
      <c r="D16" s="61">
        <f>'отнош. расх. на обслуж.'!I16</f>
        <v>0.05</v>
      </c>
      <c r="E16" s="61">
        <f>'доля расх. на сод. аппарата'!G16</f>
        <v>4.9948033763469575E-2</v>
      </c>
      <c r="F16" s="62">
        <f>'сниж. дотационности'!G16</f>
        <v>0.05</v>
      </c>
      <c r="G16" s="62">
        <f>'доля кр. зад.'!G16</f>
        <v>0.05</v>
      </c>
      <c r="H16" s="62">
        <f>'Динам. нал. дох.'!G16</f>
        <v>1.7471657577759109E-2</v>
      </c>
      <c r="I16" s="62">
        <f>'Динамика недоимки'!G16</f>
        <v>3.789529618682605E-2</v>
      </c>
      <c r="J16" s="62">
        <f>'доходы от аренды'!G16</f>
        <v>1.3648797052860613E-4</v>
      </c>
      <c r="K16" s="62">
        <f>'факт. расх.'!G16</f>
        <v>5.0007201615748786E-2</v>
      </c>
      <c r="L16" s="62">
        <f>программы!G16</f>
        <v>4.5310667770774138E-2</v>
      </c>
      <c r="M16" s="62">
        <f>МЗ!G16</f>
        <v>3.0793489890020488E-2</v>
      </c>
      <c r="N16" s="62">
        <f>'расх. на аппарат'!G16</f>
        <v>2.3314770885968127E-2</v>
      </c>
      <c r="O16" s="62">
        <f>'сокращение муниципального долга'!G16</f>
        <v>0.05</v>
      </c>
      <c r="P16" s="62" t="e">
        <f>#REF!</f>
        <v>#REF!</v>
      </c>
      <c r="Q16" s="62">
        <f>'исполнение по доходам'!G16</f>
        <v>2.0977493459590012E-2</v>
      </c>
      <c r="R16" s="62">
        <f>Равномерность!E16</f>
        <v>4.2936802973977693E-2</v>
      </c>
      <c r="S16" s="62">
        <f>'Прозрачность бюджета'!D16</f>
        <v>0.05</v>
      </c>
      <c r="T16" s="62">
        <f>'Прозрачность бюджета'!F16</f>
        <v>0.05</v>
      </c>
      <c r="U16" s="62">
        <f>'Прозрачность бюджета'!H16</f>
        <v>0</v>
      </c>
      <c r="V16" s="63">
        <f>'Прозрачность бюджета'!J16</f>
        <v>0.05</v>
      </c>
      <c r="W16" s="67">
        <f t="shared" si="0"/>
        <v>0.76879190209466275</v>
      </c>
      <c r="X16" s="187">
        <f t="shared" si="1"/>
        <v>95.066193429027933</v>
      </c>
    </row>
    <row r="17" spans="1:24" s="2" customFormat="1" ht="27.75" customHeight="1" x14ac:dyDescent="0.2">
      <c r="A17" s="57" t="s">
        <v>11</v>
      </c>
      <c r="B17" s="60">
        <f>'отнош. дефицита'!G17</f>
        <v>0</v>
      </c>
      <c r="C17" s="59">
        <f>'отношение мун. долга'!G17</f>
        <v>0.05</v>
      </c>
      <c r="D17" s="61">
        <f>'отнош. расх. на обслуж.'!I17</f>
        <v>2.3539975406417973E-2</v>
      </c>
      <c r="E17" s="61">
        <f>'доля расх. на сод. аппарата'!G17</f>
        <v>4.4796197211343508E-2</v>
      </c>
      <c r="F17" s="62">
        <f>'сниж. дотационности'!G17</f>
        <v>2.3992528720927445E-2</v>
      </c>
      <c r="G17" s="62">
        <f>'доля кр. зад.'!G17</f>
        <v>0.05</v>
      </c>
      <c r="H17" s="62">
        <f>'Динам. нал. дох.'!G17</f>
        <v>1.1884347570198985E-2</v>
      </c>
      <c r="I17" s="62">
        <f>'Динамика недоимки'!G17</f>
        <v>4.9983055381596975E-2</v>
      </c>
      <c r="J17" s="62">
        <f>'доходы от аренды'!G17</f>
        <v>4.3224451887768738E-3</v>
      </c>
      <c r="K17" s="62">
        <f>'факт. расх.'!G17</f>
        <v>3.8566113660130692E-2</v>
      </c>
      <c r="L17" s="62">
        <f>программы!G17</f>
        <v>4.396874683923447E-2</v>
      </c>
      <c r="M17" s="62">
        <f>МЗ!G17</f>
        <v>0.05</v>
      </c>
      <c r="N17" s="62">
        <f>'расх. на аппарат'!G17</f>
        <v>1.1688182253936082E-2</v>
      </c>
      <c r="O17" s="62">
        <f>'сокращение муниципального долга'!G17</f>
        <v>0.05</v>
      </c>
      <c r="P17" s="62" t="e">
        <f>#REF!</f>
        <v>#REF!</v>
      </c>
      <c r="Q17" s="62">
        <f>'исполнение по доходам'!G17</f>
        <v>1.1438447151084389E-2</v>
      </c>
      <c r="R17" s="62">
        <f>Равномерность!E17</f>
        <v>2.8438661710037172E-2</v>
      </c>
      <c r="S17" s="62">
        <f>'Прозрачность бюджета'!D17</f>
        <v>0.05</v>
      </c>
      <c r="T17" s="62">
        <f>'Прозрачность бюджета'!F17</f>
        <v>0.05</v>
      </c>
      <c r="U17" s="62">
        <f>'Прозрачность бюджета'!H17</f>
        <v>0.05</v>
      </c>
      <c r="V17" s="63">
        <f>'Прозрачность бюджета'!J17</f>
        <v>0.05</v>
      </c>
      <c r="W17" s="67">
        <f t="shared" si="0"/>
        <v>0.69261870109368473</v>
      </c>
      <c r="X17" s="187">
        <f t="shared" si="1"/>
        <v>85.646874311934084</v>
      </c>
    </row>
    <row r="18" spans="1:24" s="2" customFormat="1" ht="28.5" customHeight="1" x14ac:dyDescent="0.2">
      <c r="A18" s="57" t="s">
        <v>12</v>
      </c>
      <c r="B18" s="60">
        <f>'отнош. дефицита'!G18</f>
        <v>0.05</v>
      </c>
      <c r="C18" s="59">
        <f>'отношение мун. долга'!G18</f>
        <v>0.05</v>
      </c>
      <c r="D18" s="61">
        <f>'отнош. расх. на обслуж.'!I18</f>
        <v>0.05</v>
      </c>
      <c r="E18" s="61">
        <f>'доля расх. на сод. аппарата'!G18</f>
        <v>3.0579005019262764E-2</v>
      </c>
      <c r="F18" s="62">
        <f>'сниж. дотационности'!G18</f>
        <v>0.05</v>
      </c>
      <c r="G18" s="62">
        <f>'доля кр. зад.'!G18</f>
        <v>0.05</v>
      </c>
      <c r="H18" s="62">
        <f>'Динам. нал. дох.'!G18</f>
        <v>2.544992471863099E-2</v>
      </c>
      <c r="I18" s="62">
        <f>'Динамика недоимки'!G18</f>
        <v>3.498939230597093E-2</v>
      </c>
      <c r="J18" s="62">
        <f>'доходы от аренды'!G18</f>
        <v>2.7038518167756098E-2</v>
      </c>
      <c r="K18" s="62">
        <f>'факт. расх.'!G18</f>
        <v>4.504083095820173E-2</v>
      </c>
      <c r="L18" s="62">
        <f>программы!G18</f>
        <v>-8.7999486073320171E-7</v>
      </c>
      <c r="M18" s="62">
        <f>МЗ!G18</f>
        <v>1.5735733925084195E-2</v>
      </c>
      <c r="N18" s="62">
        <f>'расх. на аппарат'!G18</f>
        <v>0.05</v>
      </c>
      <c r="O18" s="62">
        <f>'сокращение муниципального долга'!G18</f>
        <v>0.05</v>
      </c>
      <c r="P18" s="62" t="e">
        <f>#REF!</f>
        <v>#REF!</v>
      </c>
      <c r="Q18" s="62">
        <f>'исполнение по доходам'!G18</f>
        <v>2.4581805602848388E-2</v>
      </c>
      <c r="R18" s="62">
        <f>Равномерность!E18</f>
        <v>0</v>
      </c>
      <c r="S18" s="62">
        <f>'Прозрачность бюджета'!D18</f>
        <v>0.05</v>
      </c>
      <c r="T18" s="62">
        <f>'Прозрачность бюджета'!F18</f>
        <v>0.05</v>
      </c>
      <c r="U18" s="62">
        <f>'Прозрачность бюджета'!H18</f>
        <v>0.05</v>
      </c>
      <c r="V18" s="63">
        <f>'Прозрачность бюджета'!J18</f>
        <v>0.05</v>
      </c>
      <c r="W18" s="67">
        <f t="shared" si="0"/>
        <v>0.75341433070289454</v>
      </c>
      <c r="X18" s="187">
        <f t="shared" si="1"/>
        <v>93.164655220293639</v>
      </c>
    </row>
    <row r="19" spans="1:24" s="2" customFormat="1" ht="26.25" customHeight="1" thickBot="1" x14ac:dyDescent="0.25">
      <c r="A19" s="58" t="s">
        <v>13</v>
      </c>
      <c r="B19" s="60">
        <f>'отнош. дефицита'!G19</f>
        <v>4.4247769871368685E-2</v>
      </c>
      <c r="C19" s="59">
        <f>'отношение мун. долга'!G19</f>
        <v>0.05</v>
      </c>
      <c r="D19" s="61">
        <f>'отнош. расх. на обслуж.'!I19</f>
        <v>0</v>
      </c>
      <c r="E19" s="61">
        <f>'доля расх. на сод. аппарата'!G19</f>
        <v>1.6936712709515658E-3</v>
      </c>
      <c r="F19" s="62">
        <f>'сниж. дотационности'!G19</f>
        <v>0</v>
      </c>
      <c r="G19" s="62">
        <f>'доля кр. зад.'!G19</f>
        <v>0.05</v>
      </c>
      <c r="H19" s="62">
        <f>'Динам. нал. дох.'!G19</f>
        <v>2.6166581710825362E-2</v>
      </c>
      <c r="I19" s="62">
        <f>'Динамика недоимки'!G19</f>
        <v>-1.029891389215767E-5</v>
      </c>
      <c r="J19" s="62">
        <f>'доходы от аренды'!G19</f>
        <v>1.3648454998364248E-4</v>
      </c>
      <c r="K19" s="62">
        <f>'факт. расх.'!G19</f>
        <v>3.9650084186629332E-2</v>
      </c>
      <c r="L19" s="62">
        <f>программы!G19</f>
        <v>4.6804546230793886E-2</v>
      </c>
      <c r="M19" s="62">
        <f>МЗ!G19</f>
        <v>0</v>
      </c>
      <c r="N19" s="62">
        <f>'расх. на аппарат'!G19</f>
        <v>1.1398247610872353E-2</v>
      </c>
      <c r="O19" s="62">
        <f>'сокращение муниципального долга'!G19</f>
        <v>0.05</v>
      </c>
      <c r="P19" s="62" t="e">
        <f>#REF!</f>
        <v>#REF!</v>
      </c>
      <c r="Q19" s="62">
        <f>'исполнение по доходам'!G19</f>
        <v>2.2904918725202124E-2</v>
      </c>
      <c r="R19" s="62">
        <f>Равномерность!E19</f>
        <v>3.9219330855018587E-2</v>
      </c>
      <c r="S19" s="62">
        <f>'Прозрачность бюджета'!D19</f>
        <v>0.05</v>
      </c>
      <c r="T19" s="62">
        <f>'Прозрачность бюджета'!F19</f>
        <v>0</v>
      </c>
      <c r="U19" s="62">
        <f>'Прозрачность бюджета'!H19</f>
        <v>0</v>
      </c>
      <c r="V19" s="63">
        <f>'Прозрачность бюджета'!J19</f>
        <v>0.05</v>
      </c>
      <c r="W19" s="67">
        <f t="shared" si="0"/>
        <v>0.48221133609775335</v>
      </c>
      <c r="X19" s="187">
        <f t="shared" si="1"/>
        <v>59.628614747680331</v>
      </c>
    </row>
    <row r="20" spans="1:24" s="2" customFormat="1" ht="16.5" customHeight="1" thickBot="1" x14ac:dyDescent="0.3">
      <c r="A20" s="33" t="s">
        <v>2</v>
      </c>
      <c r="B20" s="64">
        <f>SUM(B8:B19)/12</f>
        <v>4.3398863898528629E-2</v>
      </c>
      <c r="C20" s="64">
        <f t="shared" ref="C20:V20" si="2">SUM(C8:C19)/12</f>
        <v>4.0034752392395408E-2</v>
      </c>
      <c r="D20" s="64">
        <f t="shared" si="2"/>
        <v>3.740003920053097E-2</v>
      </c>
      <c r="E20" s="64">
        <f t="shared" si="2"/>
        <v>1.339074778796384E-2</v>
      </c>
      <c r="F20" s="64">
        <f t="shared" si="2"/>
        <v>3.0539311392243054E-2</v>
      </c>
      <c r="G20" s="64">
        <f t="shared" si="2"/>
        <v>4.9999999999999996E-2</v>
      </c>
      <c r="H20" s="64">
        <f t="shared" si="2"/>
        <v>1.9916737770598884E-2</v>
      </c>
      <c r="I20" s="64">
        <f t="shared" si="2"/>
        <v>3.9280725084918346E-2</v>
      </c>
      <c r="J20" s="64">
        <f t="shared" si="2"/>
        <v>1.0895996930267902E-2</v>
      </c>
      <c r="K20" s="64">
        <f t="shared" si="2"/>
        <v>3.6912738637976249E-2</v>
      </c>
      <c r="L20" s="64">
        <f t="shared" si="2"/>
        <v>3.5155215959245402E-2</v>
      </c>
      <c r="M20" s="64">
        <f t="shared" si="2"/>
        <v>1.9861940417604067E-2</v>
      </c>
      <c r="N20" s="64">
        <f t="shared" si="2"/>
        <v>2.0916396317773738E-2</v>
      </c>
      <c r="O20" s="64">
        <f t="shared" si="2"/>
        <v>3.531849912739965E-2</v>
      </c>
      <c r="P20" s="64" t="e">
        <f t="shared" si="2"/>
        <v>#REF!</v>
      </c>
      <c r="Q20" s="64">
        <f t="shared" si="2"/>
        <v>2.0237731339171811E-2</v>
      </c>
      <c r="R20" s="64">
        <f t="shared" si="2"/>
        <v>3.7499999999999999E-2</v>
      </c>
      <c r="S20" s="64">
        <f t="shared" si="2"/>
        <v>4.9999999999999996E-2</v>
      </c>
      <c r="T20" s="64">
        <f t="shared" si="2"/>
        <v>4.583333333333333E-2</v>
      </c>
      <c r="U20" s="64">
        <f t="shared" si="2"/>
        <v>1.2500000000000002E-2</v>
      </c>
      <c r="V20" s="71">
        <f t="shared" si="2"/>
        <v>4.9999999999999996E-2</v>
      </c>
      <c r="W20" s="70">
        <f>B20+C20+D20+E20+F20+G20+H20+I20+J20+K20+L20+M20+N20+O20+Q20+R20+S20+T20+U20+V20</f>
        <v>0.6490930295899513</v>
      </c>
      <c r="X20" s="189">
        <f>SUM(W8:W19)/12</f>
        <v>0.64909302958995152</v>
      </c>
    </row>
    <row r="21" spans="1:24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4" ht="15.75" x14ac:dyDescent="0.25">
      <c r="A22" s="248"/>
      <c r="B22" s="248"/>
      <c r="C22" s="248"/>
      <c r="D22" s="248"/>
      <c r="E22" s="248"/>
      <c r="F22" s="24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4" ht="18.75" x14ac:dyDescent="0.3">
      <c r="A23" s="230" t="s">
        <v>132</v>
      </c>
      <c r="B23" s="230"/>
      <c r="C23" s="230"/>
      <c r="D23" s="230"/>
      <c r="E23" s="230"/>
      <c r="F23" s="230"/>
      <c r="G23" s="230"/>
      <c r="H23" s="23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19" t="s">
        <v>124</v>
      </c>
      <c r="W23" s="219"/>
    </row>
    <row r="24" spans="1:24" ht="15.7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4" ht="15.75" x14ac:dyDescent="0.25">
      <c r="A25" s="5"/>
      <c r="B25" s="5"/>
      <c r="C25" s="5"/>
      <c r="D25" s="5"/>
      <c r="E25" s="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4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4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4" ht="18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4" ht="18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34">
    <mergeCell ref="A23:H23"/>
    <mergeCell ref="V23:W23"/>
    <mergeCell ref="P5:P6"/>
    <mergeCell ref="Q5:Q6"/>
    <mergeCell ref="W2:W7"/>
    <mergeCell ref="R5:R6"/>
    <mergeCell ref="S5:S6"/>
    <mergeCell ref="T5:T6"/>
    <mergeCell ref="U5:U6"/>
    <mergeCell ref="O2:P4"/>
    <mergeCell ref="Q2:R4"/>
    <mergeCell ref="S2:V4"/>
    <mergeCell ref="A1:V1"/>
    <mergeCell ref="V5:V6"/>
    <mergeCell ref="F5:F6"/>
    <mergeCell ref="E5:E6"/>
    <mergeCell ref="D5:D6"/>
    <mergeCell ref="C5:C6"/>
    <mergeCell ref="I5:I6"/>
    <mergeCell ref="J5:J6"/>
    <mergeCell ref="B5:B6"/>
    <mergeCell ref="B2:E4"/>
    <mergeCell ref="F2:G4"/>
    <mergeCell ref="G5:G6"/>
    <mergeCell ref="H5:H6"/>
    <mergeCell ref="N5:N6"/>
    <mergeCell ref="O5:O6"/>
    <mergeCell ref="H2:J4"/>
    <mergeCell ref="A2:A6"/>
    <mergeCell ref="K5:K6"/>
    <mergeCell ref="L5:L6"/>
    <mergeCell ref="M5:M6"/>
    <mergeCell ref="A22:F22"/>
    <mergeCell ref="K2:N4"/>
  </mergeCells>
  <pageMargins left="1.1811023622047245" right="0.19685039370078741" top="0.31496062992125984" bottom="0.15748031496062992" header="0" footer="0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G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0" sqref="F10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19.140625" style="1" customWidth="1"/>
    <col min="4" max="4" width="34.85546875" style="1" customWidth="1"/>
    <col min="5" max="5" width="39.5703125" style="1" customWidth="1"/>
    <col min="6" max="6" width="24" style="1" customWidth="1"/>
    <col min="7" max="7" width="17.28515625" style="1" customWidth="1"/>
    <col min="8" max="16384" width="9.140625" style="1"/>
  </cols>
  <sheetData>
    <row r="1" spans="1:33" ht="39.75" customHeight="1" x14ac:dyDescent="0.2">
      <c r="A1" s="228" t="s">
        <v>107</v>
      </c>
      <c r="B1" s="228"/>
      <c r="C1" s="228"/>
      <c r="D1" s="228"/>
      <c r="E1" s="228"/>
      <c r="F1" s="228"/>
      <c r="G1" s="228"/>
    </row>
    <row r="2" spans="1:33" ht="12.75" customHeight="1" x14ac:dyDescent="0.2">
      <c r="A2" s="229"/>
      <c r="B2" s="227" t="s">
        <v>19</v>
      </c>
      <c r="C2" s="227" t="s">
        <v>20</v>
      </c>
      <c r="D2" s="227" t="s">
        <v>17</v>
      </c>
      <c r="E2" s="227" t="s">
        <v>18</v>
      </c>
      <c r="F2" s="227" t="s">
        <v>59</v>
      </c>
      <c r="G2" s="227" t="s">
        <v>61</v>
      </c>
    </row>
    <row r="3" spans="1:33" ht="12.75" customHeight="1" x14ac:dyDescent="0.2">
      <c r="A3" s="229"/>
      <c r="B3" s="227" t="s">
        <v>0</v>
      </c>
      <c r="C3" s="227"/>
      <c r="D3" s="227"/>
      <c r="E3" s="227"/>
      <c r="F3" s="227"/>
      <c r="G3" s="227"/>
    </row>
    <row r="4" spans="1:33" ht="15.75" customHeight="1" x14ac:dyDescent="0.2">
      <c r="A4" s="229"/>
      <c r="B4" s="227" t="s">
        <v>1</v>
      </c>
      <c r="C4" s="227"/>
      <c r="D4" s="227"/>
      <c r="E4" s="227"/>
      <c r="F4" s="227"/>
      <c r="G4" s="227"/>
    </row>
    <row r="5" spans="1:33" ht="16.5" customHeight="1" x14ac:dyDescent="0.2">
      <c r="A5" s="229"/>
      <c r="B5" s="227"/>
      <c r="C5" s="227"/>
      <c r="D5" s="227"/>
      <c r="E5" s="227"/>
      <c r="F5" s="227"/>
      <c r="G5" s="227"/>
    </row>
    <row r="6" spans="1:33" ht="85.5" customHeight="1" x14ac:dyDescent="0.2">
      <c r="A6" s="229"/>
      <c r="B6" s="227"/>
      <c r="C6" s="227"/>
      <c r="D6" s="227"/>
      <c r="E6" s="227"/>
      <c r="F6" s="227"/>
      <c r="G6" s="227"/>
    </row>
    <row r="7" spans="1:33" ht="33.75" customHeight="1" x14ac:dyDescent="0.2">
      <c r="A7" s="47"/>
      <c r="B7" s="47">
        <v>1</v>
      </c>
      <c r="C7" s="15">
        <v>2</v>
      </c>
      <c r="D7" s="15">
        <v>3</v>
      </c>
      <c r="E7" s="15" t="s">
        <v>35</v>
      </c>
      <c r="F7" s="15" t="s">
        <v>60</v>
      </c>
      <c r="G7" s="15" t="s">
        <v>62</v>
      </c>
      <c r="H7" s="7"/>
    </row>
    <row r="8" spans="1:33" s="73" customFormat="1" ht="19.5" customHeight="1" x14ac:dyDescent="0.2">
      <c r="A8" s="72">
        <v>1</v>
      </c>
      <c r="B8" s="14" t="s">
        <v>14</v>
      </c>
      <c r="C8" s="104">
        <v>10000</v>
      </c>
      <c r="D8" s="136">
        <v>310930.5</v>
      </c>
      <c r="E8" s="150">
        <f t="shared" ref="E8:E20" si="0">C8/D8</f>
        <v>3.2161528058521113E-2</v>
      </c>
      <c r="F8" s="159">
        <f>($E$14-E8)/($E$14-0)</f>
        <v>0.38419518188148161</v>
      </c>
      <c r="G8" s="159">
        <f t="shared" ref="G8:G20" si="1">F8*0.05</f>
        <v>1.9209759094074082E-2</v>
      </c>
      <c r="H8" s="46"/>
      <c r="I8" s="79"/>
      <c r="J8" s="79"/>
      <c r="K8" s="79"/>
      <c r="L8" s="79"/>
      <c r="M8" s="79"/>
      <c r="N8" s="79"/>
      <c r="O8" s="79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s="73" customFormat="1" ht="19.5" customHeight="1" x14ac:dyDescent="0.2">
      <c r="A9" s="72">
        <f t="shared" ref="A9:A15" si="2">A8+1</f>
        <v>2</v>
      </c>
      <c r="B9" s="74" t="s">
        <v>3</v>
      </c>
      <c r="C9" s="104"/>
      <c r="D9" s="136">
        <v>23202</v>
      </c>
      <c r="E9" s="150">
        <f t="shared" si="0"/>
        <v>0</v>
      </c>
      <c r="F9" s="159">
        <f>($E$14-E9)/($E$14-0)</f>
        <v>1</v>
      </c>
      <c r="G9" s="159">
        <f t="shared" si="1"/>
        <v>0.05</v>
      </c>
      <c r="H9" s="180" t="s">
        <v>58</v>
      </c>
    </row>
    <row r="10" spans="1:33" s="73" customFormat="1" ht="19.5" customHeight="1" x14ac:dyDescent="0.2">
      <c r="A10" s="72">
        <f t="shared" si="2"/>
        <v>3</v>
      </c>
      <c r="B10" s="74" t="s">
        <v>4</v>
      </c>
      <c r="C10" s="104"/>
      <c r="D10" s="136">
        <v>39102</v>
      </c>
      <c r="E10" s="150">
        <f t="shared" si="0"/>
        <v>0</v>
      </c>
      <c r="F10" s="159">
        <f t="shared" ref="F10:F19" si="3">($E$14-E10)/($E$14-0)</f>
        <v>1</v>
      </c>
      <c r="G10" s="159">
        <f t="shared" si="1"/>
        <v>0.05</v>
      </c>
      <c r="I10" s="81"/>
      <c r="J10" s="81"/>
    </row>
    <row r="11" spans="1:33" s="73" customFormat="1" ht="19.5" customHeight="1" x14ac:dyDescent="0.2">
      <c r="A11" s="72">
        <f t="shared" si="2"/>
        <v>4</v>
      </c>
      <c r="B11" s="74" t="s">
        <v>5</v>
      </c>
      <c r="C11" s="104"/>
      <c r="D11" s="136">
        <v>45585.7</v>
      </c>
      <c r="E11" s="150">
        <f t="shared" si="0"/>
        <v>0</v>
      </c>
      <c r="F11" s="159">
        <f t="shared" si="3"/>
        <v>1</v>
      </c>
      <c r="G11" s="159">
        <f t="shared" si="1"/>
        <v>0.05</v>
      </c>
    </row>
    <row r="12" spans="1:33" s="73" customFormat="1" ht="19.5" customHeight="1" x14ac:dyDescent="0.2">
      <c r="A12" s="72">
        <f t="shared" si="2"/>
        <v>5</v>
      </c>
      <c r="B12" s="74" t="s">
        <v>6</v>
      </c>
      <c r="C12" s="104">
        <v>0</v>
      </c>
      <c r="D12" s="136">
        <v>55656.9</v>
      </c>
      <c r="E12" s="150">
        <f t="shared" si="0"/>
        <v>0</v>
      </c>
      <c r="F12" s="159">
        <f t="shared" si="3"/>
        <v>1</v>
      </c>
      <c r="G12" s="159">
        <f t="shared" si="1"/>
        <v>0.05</v>
      </c>
      <c r="H12" s="46"/>
    </row>
    <row r="13" spans="1:33" s="73" customFormat="1" ht="19.5" customHeight="1" x14ac:dyDescent="0.2">
      <c r="A13" s="72">
        <f t="shared" si="2"/>
        <v>6</v>
      </c>
      <c r="B13" s="74" t="s">
        <v>7</v>
      </c>
      <c r="C13" s="104"/>
      <c r="D13" s="136">
        <v>42017.5</v>
      </c>
      <c r="E13" s="150">
        <f t="shared" si="0"/>
        <v>0</v>
      </c>
      <c r="F13" s="159">
        <f t="shared" si="3"/>
        <v>1</v>
      </c>
      <c r="G13" s="159">
        <f t="shared" si="1"/>
        <v>0.05</v>
      </c>
    </row>
    <row r="14" spans="1:33" s="73" customFormat="1" ht="19.5" customHeight="1" x14ac:dyDescent="0.2">
      <c r="A14" s="72">
        <f t="shared" si="2"/>
        <v>7</v>
      </c>
      <c r="B14" s="74" t="s">
        <v>8</v>
      </c>
      <c r="C14" s="104">
        <v>2000</v>
      </c>
      <c r="D14" s="136">
        <v>38294.5</v>
      </c>
      <c r="E14" s="150">
        <f t="shared" si="0"/>
        <v>5.2226821083967673E-2</v>
      </c>
      <c r="F14" s="159">
        <f t="shared" si="3"/>
        <v>0</v>
      </c>
      <c r="G14" s="159">
        <f>F14*0.05</f>
        <v>0</v>
      </c>
      <c r="H14" s="81" t="s">
        <v>63</v>
      </c>
    </row>
    <row r="15" spans="1:33" s="73" customFormat="1" ht="19.5" customHeight="1" x14ac:dyDescent="0.2">
      <c r="A15" s="72">
        <f t="shared" si="2"/>
        <v>8</v>
      </c>
      <c r="B15" s="74" t="s">
        <v>9</v>
      </c>
      <c r="C15" s="104">
        <v>1200</v>
      </c>
      <c r="D15" s="136">
        <v>29614.698130000001</v>
      </c>
      <c r="E15" s="150">
        <f t="shared" si="0"/>
        <v>4.0520419783863587E-2</v>
      </c>
      <c r="F15" s="159">
        <f t="shared" si="3"/>
        <v>0.22414539229341796</v>
      </c>
      <c r="G15" s="159">
        <f t="shared" si="1"/>
        <v>1.1207269614670898E-2</v>
      </c>
    </row>
    <row r="16" spans="1:33" s="73" customFormat="1" ht="19.5" customHeight="1" x14ac:dyDescent="0.2">
      <c r="A16" s="72">
        <v>9</v>
      </c>
      <c r="B16" s="74" t="s">
        <v>10</v>
      </c>
      <c r="C16" s="119">
        <v>0</v>
      </c>
      <c r="D16" s="136">
        <v>53082.2</v>
      </c>
      <c r="E16" s="150">
        <f t="shared" si="0"/>
        <v>0</v>
      </c>
      <c r="F16" s="159">
        <f t="shared" si="3"/>
        <v>1</v>
      </c>
      <c r="G16" s="159">
        <f t="shared" si="1"/>
        <v>0.05</v>
      </c>
    </row>
    <row r="17" spans="1:8" s="73" customFormat="1" ht="19.5" customHeight="1" x14ac:dyDescent="0.2">
      <c r="A17" s="72">
        <v>10</v>
      </c>
      <c r="B17" s="74" t="s">
        <v>11</v>
      </c>
      <c r="C17" s="171"/>
      <c r="D17" s="136">
        <v>62434.400000000001</v>
      </c>
      <c r="E17" s="114">
        <f>C17/D17</f>
        <v>0</v>
      </c>
      <c r="F17" s="159">
        <f t="shared" si="3"/>
        <v>1</v>
      </c>
      <c r="G17" s="159">
        <f t="shared" si="1"/>
        <v>0.05</v>
      </c>
      <c r="H17" s="81"/>
    </row>
    <row r="18" spans="1:8" s="73" customFormat="1" ht="19.5" customHeight="1" x14ac:dyDescent="0.2">
      <c r="A18" s="72">
        <v>11</v>
      </c>
      <c r="B18" s="74" t="s">
        <v>12</v>
      </c>
      <c r="C18" s="119">
        <v>0</v>
      </c>
      <c r="D18" s="136">
        <v>327223</v>
      </c>
      <c r="E18" s="114">
        <f t="shared" si="0"/>
        <v>0</v>
      </c>
      <c r="F18" s="159">
        <f t="shared" si="3"/>
        <v>1</v>
      </c>
      <c r="G18" s="159">
        <f t="shared" si="1"/>
        <v>0.05</v>
      </c>
      <c r="H18" s="46"/>
    </row>
    <row r="19" spans="1:8" s="73" customFormat="1" ht="19.5" customHeight="1" thickBot="1" x14ac:dyDescent="0.25">
      <c r="A19" s="75">
        <v>12</v>
      </c>
      <c r="B19" s="76" t="s">
        <v>13</v>
      </c>
      <c r="C19" s="120">
        <v>0</v>
      </c>
      <c r="D19" s="193">
        <v>42105.828240000003</v>
      </c>
      <c r="E19" s="114">
        <f t="shared" si="0"/>
        <v>0</v>
      </c>
      <c r="F19" s="159">
        <f t="shared" si="3"/>
        <v>1</v>
      </c>
      <c r="G19" s="160">
        <f t="shared" si="1"/>
        <v>0.05</v>
      </c>
    </row>
    <row r="20" spans="1:8" s="73" customFormat="1" ht="19.5" customHeight="1" thickBot="1" x14ac:dyDescent="0.25">
      <c r="A20" s="82"/>
      <c r="B20" s="78" t="s">
        <v>2</v>
      </c>
      <c r="C20" s="105">
        <f>SUM(C8:C19)</f>
        <v>13200</v>
      </c>
      <c r="D20" s="105">
        <f>SUM(D8:D19)</f>
        <v>1069249.22637</v>
      </c>
      <c r="E20" s="101">
        <f t="shared" si="0"/>
        <v>1.2345110638810327E-2</v>
      </c>
      <c r="F20" s="216">
        <f t="shared" ref="F20" si="4">(0.052-E20)/(0.052-0)</f>
        <v>0.76259402617672456</v>
      </c>
      <c r="G20" s="102">
        <f t="shared" si="1"/>
        <v>3.8129701308836229E-2</v>
      </c>
    </row>
    <row r="21" spans="1:8" ht="15.75" x14ac:dyDescent="0.25">
      <c r="A21" s="17"/>
      <c r="B21" s="17"/>
      <c r="C21" s="17"/>
      <c r="D21" s="17"/>
      <c r="E21" s="17"/>
    </row>
    <row r="22" spans="1:8" ht="18.75" x14ac:dyDescent="0.3">
      <c r="A22" s="230" t="s">
        <v>122</v>
      </c>
      <c r="B22" s="230"/>
      <c r="C22" s="230"/>
      <c r="D22" s="230"/>
      <c r="E22" s="230"/>
      <c r="F22" s="219" t="s">
        <v>121</v>
      </c>
      <c r="G22" s="219"/>
    </row>
    <row r="23" spans="1:8" ht="15.75" x14ac:dyDescent="0.25">
      <c r="A23" s="17"/>
      <c r="B23" s="17"/>
      <c r="C23" s="17"/>
      <c r="D23" s="17"/>
      <c r="E23" s="17"/>
    </row>
    <row r="24" spans="1:8" ht="15.75" x14ac:dyDescent="0.25">
      <c r="A24" s="17"/>
      <c r="B24" s="17"/>
      <c r="C24" s="17"/>
      <c r="D24" s="17"/>
      <c r="E24" s="17"/>
    </row>
    <row r="25" spans="1:8" ht="15.75" x14ac:dyDescent="0.25">
      <c r="A25" s="17"/>
      <c r="B25" s="5"/>
      <c r="C25" s="17"/>
      <c r="D25" s="17"/>
      <c r="E25" s="17"/>
    </row>
    <row r="26" spans="1:8" ht="18.75" x14ac:dyDescent="0.3">
      <c r="A26" s="4"/>
      <c r="B26" s="4"/>
      <c r="C26" s="4"/>
      <c r="D26" s="4"/>
      <c r="E26" s="4"/>
    </row>
    <row r="27" spans="1:8" ht="18.75" x14ac:dyDescent="0.3">
      <c r="A27" s="4"/>
      <c r="B27" s="4"/>
      <c r="C27" s="4"/>
      <c r="D27" s="4"/>
      <c r="E27" s="4"/>
    </row>
    <row r="28" spans="1:8" ht="18.75" x14ac:dyDescent="0.3">
      <c r="A28" s="4"/>
      <c r="B28" s="4"/>
      <c r="C28" s="4"/>
      <c r="D28" s="4"/>
      <c r="E28" s="4"/>
    </row>
    <row r="29" spans="1:8" ht="18.75" x14ac:dyDescent="0.3">
      <c r="A29" s="4"/>
      <c r="B29" s="4"/>
      <c r="C29" s="4"/>
      <c r="D29" s="4"/>
      <c r="E29" s="4"/>
    </row>
  </sheetData>
  <mergeCells count="10">
    <mergeCell ref="G2:G6"/>
    <mergeCell ref="A1:G1"/>
    <mergeCell ref="D2:D6"/>
    <mergeCell ref="A2:A6"/>
    <mergeCell ref="A22:E22"/>
    <mergeCell ref="F2:F6"/>
    <mergeCell ref="B2:B6"/>
    <mergeCell ref="C2:C6"/>
    <mergeCell ref="E2:E6"/>
    <mergeCell ref="F22:G22"/>
  </mergeCells>
  <phoneticPr fontId="2" type="noConversion"/>
  <dataValidations count="1">
    <dataValidation operator="notEqual" showErrorMessage="1" errorTitle="ОШИБКА" error="Должно быть целое положительное число!" sqref="D8:D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4.140625" style="1" customWidth="1"/>
    <col min="2" max="2" width="22" style="1" customWidth="1"/>
    <col min="3" max="3" width="17.140625" style="1" customWidth="1"/>
    <col min="4" max="4" width="16.5703125" style="1" customWidth="1"/>
    <col min="5" max="5" width="16.28515625" style="1" customWidth="1"/>
    <col min="6" max="6" width="25.5703125" style="1" customWidth="1"/>
    <col min="7" max="7" width="27" style="1" customWidth="1"/>
    <col min="8" max="8" width="20.42578125" style="1" customWidth="1"/>
    <col min="9" max="9" width="18.28515625" style="1" customWidth="1"/>
    <col min="10" max="16384" width="9.140625" style="1"/>
  </cols>
  <sheetData>
    <row r="1" spans="1:35" ht="59.25" customHeight="1" thickBot="1" x14ac:dyDescent="0.25">
      <c r="A1" s="234" t="s">
        <v>21</v>
      </c>
      <c r="B1" s="234"/>
      <c r="C1" s="234"/>
      <c r="D1" s="234"/>
      <c r="E1" s="234"/>
      <c r="F1" s="234"/>
      <c r="G1" s="234"/>
      <c r="H1" s="234"/>
      <c r="I1" s="234"/>
    </row>
    <row r="2" spans="1:35" ht="12.75" customHeight="1" x14ac:dyDescent="0.2">
      <c r="A2" s="236"/>
      <c r="B2" s="239" t="s">
        <v>19</v>
      </c>
      <c r="C2" s="239" t="s">
        <v>23</v>
      </c>
      <c r="D2" s="235" t="s">
        <v>24</v>
      </c>
      <c r="E2" s="235" t="s">
        <v>25</v>
      </c>
      <c r="F2" s="235" t="s">
        <v>22</v>
      </c>
      <c r="G2" s="231" t="s">
        <v>21</v>
      </c>
      <c r="H2" s="231" t="s">
        <v>59</v>
      </c>
      <c r="I2" s="231" t="s">
        <v>61</v>
      </c>
    </row>
    <row r="3" spans="1:35" ht="12.75" customHeight="1" x14ac:dyDescent="0.2">
      <c r="A3" s="237"/>
      <c r="B3" s="227" t="s">
        <v>0</v>
      </c>
      <c r="C3" s="227"/>
      <c r="D3" s="221"/>
      <c r="E3" s="221"/>
      <c r="F3" s="221"/>
      <c r="G3" s="232"/>
      <c r="H3" s="232"/>
      <c r="I3" s="232"/>
    </row>
    <row r="4" spans="1:35" ht="15.75" customHeight="1" x14ac:dyDescent="0.2">
      <c r="A4" s="237"/>
      <c r="B4" s="227" t="s">
        <v>1</v>
      </c>
      <c r="C4" s="227"/>
      <c r="D4" s="221"/>
      <c r="E4" s="221"/>
      <c r="F4" s="221"/>
      <c r="G4" s="232"/>
      <c r="H4" s="232"/>
      <c r="I4" s="232"/>
    </row>
    <row r="5" spans="1:35" ht="16.5" customHeight="1" x14ac:dyDescent="0.2">
      <c r="A5" s="237"/>
      <c r="B5" s="227"/>
      <c r="C5" s="227"/>
      <c r="D5" s="221"/>
      <c r="E5" s="221"/>
      <c r="F5" s="221"/>
      <c r="G5" s="232"/>
      <c r="H5" s="232"/>
      <c r="I5" s="232"/>
    </row>
    <row r="6" spans="1:35" ht="142.5" customHeight="1" x14ac:dyDescent="0.2">
      <c r="A6" s="238"/>
      <c r="B6" s="227"/>
      <c r="C6" s="227"/>
      <c r="D6" s="222"/>
      <c r="E6" s="222"/>
      <c r="F6" s="222"/>
      <c r="G6" s="233"/>
      <c r="H6" s="233"/>
      <c r="I6" s="233"/>
    </row>
    <row r="7" spans="1:35" ht="30" customHeight="1" x14ac:dyDescent="0.25">
      <c r="A7" s="19"/>
      <c r="B7" s="13">
        <v>1</v>
      </c>
      <c r="C7" s="20">
        <v>2</v>
      </c>
      <c r="D7" s="21">
        <v>3</v>
      </c>
      <c r="E7" s="21">
        <v>4</v>
      </c>
      <c r="F7" s="21" t="s">
        <v>26</v>
      </c>
      <c r="G7" s="22" t="s">
        <v>44</v>
      </c>
      <c r="H7" s="15" t="s">
        <v>64</v>
      </c>
      <c r="I7" s="22" t="s">
        <v>65</v>
      </c>
      <c r="J7" s="7"/>
    </row>
    <row r="8" spans="1:35" s="2" customFormat="1" ht="18" customHeight="1" x14ac:dyDescent="0.25">
      <c r="A8" s="23">
        <v>1</v>
      </c>
      <c r="B8" s="24" t="s">
        <v>14</v>
      </c>
      <c r="C8" s="18">
        <v>9.6</v>
      </c>
      <c r="D8" s="110">
        <f>'факт. расх.'!D8</f>
        <v>492412.51</v>
      </c>
      <c r="E8" s="18">
        <v>12.4</v>
      </c>
      <c r="F8" s="11">
        <f>D8-E8</f>
        <v>492400.11</v>
      </c>
      <c r="G8" s="181">
        <f>C8/F8</f>
        <v>1.9496340080021508E-5</v>
      </c>
      <c r="H8" s="48">
        <f>($G$19-G8)/($G$19-0)</f>
        <v>0.72755560466353641</v>
      </c>
      <c r="I8" s="48">
        <f>H8*0.05</f>
        <v>3.6377780233176824E-2</v>
      </c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2" customFormat="1" ht="17.25" customHeight="1" x14ac:dyDescent="0.25">
      <c r="A9" s="25">
        <f t="shared" ref="A9:A15" si="0">A8+1</f>
        <v>2</v>
      </c>
      <c r="B9" s="26" t="s">
        <v>3</v>
      </c>
      <c r="C9" s="18">
        <v>0.4</v>
      </c>
      <c r="D9" s="110">
        <f>'факт. расх.'!D9</f>
        <v>51485.59</v>
      </c>
      <c r="E9" s="18">
        <v>263.60000000000002</v>
      </c>
      <c r="F9" s="11">
        <f t="shared" ref="F9:F19" si="1">D9-E9</f>
        <v>51221.99</v>
      </c>
      <c r="G9" s="181">
        <f t="shared" ref="G9:G20" si="2">C9/F9</f>
        <v>7.8091460327878715E-6</v>
      </c>
      <c r="H9" s="48">
        <f t="shared" ref="H9:H19" si="3">($G$19-G9)/($G$19-0)</f>
        <v>0.89087397633275744</v>
      </c>
      <c r="I9" s="48">
        <f t="shared" ref="I9:I19" si="4">H9*0.05</f>
        <v>4.4543698816637875E-2</v>
      </c>
    </row>
    <row r="10" spans="1:35" s="2" customFormat="1" ht="29.25" customHeight="1" x14ac:dyDescent="0.25">
      <c r="A10" s="25">
        <f t="shared" si="0"/>
        <v>3</v>
      </c>
      <c r="B10" s="26" t="s">
        <v>4</v>
      </c>
      <c r="C10" s="18"/>
      <c r="D10" s="110">
        <f>'факт. расх.'!D10</f>
        <v>74171.94</v>
      </c>
      <c r="E10" s="18">
        <v>263.60000000000002</v>
      </c>
      <c r="F10" s="11">
        <f t="shared" si="1"/>
        <v>73908.34</v>
      </c>
      <c r="G10" s="181">
        <f t="shared" si="2"/>
        <v>0</v>
      </c>
      <c r="H10" s="48">
        <f t="shared" si="3"/>
        <v>1</v>
      </c>
      <c r="I10" s="48">
        <f t="shared" si="4"/>
        <v>0.05</v>
      </c>
      <c r="J10" s="46"/>
      <c r="K10" s="8"/>
      <c r="L10" s="8"/>
    </row>
    <row r="11" spans="1:35" s="2" customFormat="1" ht="16.5" customHeight="1" x14ac:dyDescent="0.25">
      <c r="A11" s="25">
        <f t="shared" si="0"/>
        <v>4</v>
      </c>
      <c r="B11" s="26" t="s">
        <v>5</v>
      </c>
      <c r="C11" s="18"/>
      <c r="D11" s="110">
        <f>'факт. расх.'!D11</f>
        <v>142478.92000000001</v>
      </c>
      <c r="E11" s="18">
        <v>263.60000000000002</v>
      </c>
      <c r="F11" s="11">
        <f t="shared" si="1"/>
        <v>142215.32</v>
      </c>
      <c r="G11" s="181">
        <f t="shared" si="2"/>
        <v>0</v>
      </c>
      <c r="H11" s="48">
        <f t="shared" si="3"/>
        <v>1</v>
      </c>
      <c r="I11" s="48">
        <f t="shared" si="4"/>
        <v>0.05</v>
      </c>
      <c r="J11" s="46" t="s">
        <v>58</v>
      </c>
    </row>
    <row r="12" spans="1:35" s="2" customFormat="1" ht="16.5" customHeight="1" x14ac:dyDescent="0.25">
      <c r="A12" s="25">
        <f t="shared" si="0"/>
        <v>5</v>
      </c>
      <c r="B12" s="26" t="s">
        <v>6</v>
      </c>
      <c r="C12" s="18"/>
      <c r="D12" s="110">
        <f>'факт. расх.'!D12</f>
        <v>66674.87</v>
      </c>
      <c r="E12" s="18">
        <v>263.60000000000002</v>
      </c>
      <c r="F12" s="11">
        <f t="shared" si="1"/>
        <v>66411.26999999999</v>
      </c>
      <c r="G12" s="181">
        <f t="shared" si="2"/>
        <v>0</v>
      </c>
      <c r="H12" s="48">
        <f t="shared" si="3"/>
        <v>1</v>
      </c>
      <c r="I12" s="48">
        <f>H12*0.05</f>
        <v>0.05</v>
      </c>
    </row>
    <row r="13" spans="1:35" s="2" customFormat="1" ht="15.75" customHeight="1" x14ac:dyDescent="0.25">
      <c r="A13" s="25">
        <f t="shared" si="0"/>
        <v>6</v>
      </c>
      <c r="B13" s="26" t="s">
        <v>7</v>
      </c>
      <c r="C13" s="18">
        <v>0.8</v>
      </c>
      <c r="D13" s="110">
        <f>'факт. расх.'!D13</f>
        <v>75371.23</v>
      </c>
      <c r="E13" s="18">
        <v>263.60000000000002</v>
      </c>
      <c r="F13" s="11">
        <f t="shared" si="1"/>
        <v>75107.62999999999</v>
      </c>
      <c r="G13" s="181">
        <f t="shared" si="2"/>
        <v>1.0651381224517405E-5</v>
      </c>
      <c r="H13" s="48">
        <f t="shared" si="3"/>
        <v>0.85115621161196919</v>
      </c>
      <c r="I13" s="48">
        <f t="shared" si="4"/>
        <v>4.255781058059846E-2</v>
      </c>
    </row>
    <row r="14" spans="1:35" s="2" customFormat="1" ht="15.75" x14ac:dyDescent="0.25">
      <c r="A14" s="25">
        <f t="shared" si="0"/>
        <v>7</v>
      </c>
      <c r="B14" s="26" t="s">
        <v>8</v>
      </c>
      <c r="C14" s="18">
        <v>3.5</v>
      </c>
      <c r="D14" s="110">
        <f>'факт. расх.'!D14</f>
        <v>69455.39</v>
      </c>
      <c r="E14" s="18">
        <v>527.4</v>
      </c>
      <c r="F14" s="11">
        <f t="shared" si="1"/>
        <v>68927.990000000005</v>
      </c>
      <c r="G14" s="181">
        <f t="shared" si="2"/>
        <v>5.0777630393690568E-5</v>
      </c>
      <c r="H14" s="48">
        <f t="shared" si="3"/>
        <v>0.29042677997786553</v>
      </c>
      <c r="I14" s="48">
        <f t="shared" si="4"/>
        <v>1.4521338998893277E-2</v>
      </c>
    </row>
    <row r="15" spans="1:35" s="2" customFormat="1" ht="15.75" customHeight="1" x14ac:dyDescent="0.25">
      <c r="A15" s="25">
        <f t="shared" si="0"/>
        <v>8</v>
      </c>
      <c r="B15" s="26" t="s">
        <v>9</v>
      </c>
      <c r="C15" s="18">
        <v>1.2</v>
      </c>
      <c r="D15" s="110">
        <f>'факт. расх.'!D15</f>
        <v>66075.14</v>
      </c>
      <c r="E15" s="18">
        <v>263.60000000000002</v>
      </c>
      <c r="F15" s="11">
        <f t="shared" si="1"/>
        <v>65811.539999999994</v>
      </c>
      <c r="G15" s="181">
        <f t="shared" si="2"/>
        <v>1.8233884209365106E-5</v>
      </c>
      <c r="H15" s="48">
        <f t="shared" si="3"/>
        <v>0.74519732741294653</v>
      </c>
      <c r="I15" s="48">
        <f t="shared" si="4"/>
        <v>3.7259866370647328E-2</v>
      </c>
    </row>
    <row r="16" spans="1:35" s="2" customFormat="1" ht="15.75" customHeight="1" x14ac:dyDescent="0.25">
      <c r="A16" s="25">
        <v>9</v>
      </c>
      <c r="B16" s="26" t="s">
        <v>10</v>
      </c>
      <c r="C16" s="18"/>
      <c r="D16" s="110">
        <f>'факт. расх.'!D16</f>
        <v>68172.070000000007</v>
      </c>
      <c r="E16" s="18">
        <v>263.60000000000002</v>
      </c>
      <c r="F16" s="11">
        <f t="shared" si="1"/>
        <v>67908.47</v>
      </c>
      <c r="G16" s="181">
        <f t="shared" si="2"/>
        <v>0</v>
      </c>
      <c r="H16" s="48">
        <f t="shared" si="3"/>
        <v>1</v>
      </c>
      <c r="I16" s="48">
        <f t="shared" si="4"/>
        <v>0.05</v>
      </c>
      <c r="J16" s="46"/>
    </row>
    <row r="17" spans="1:10" s="2" customFormat="1" ht="13.5" customHeight="1" x14ac:dyDescent="0.25">
      <c r="A17" s="25">
        <v>10</v>
      </c>
      <c r="B17" s="26" t="s">
        <v>11</v>
      </c>
      <c r="C17" s="18">
        <v>2.9</v>
      </c>
      <c r="D17" s="110">
        <f>'факт. расх.'!D17</f>
        <v>77105.14</v>
      </c>
      <c r="E17" s="18">
        <v>527.4</v>
      </c>
      <c r="F17" s="11">
        <f t="shared" si="1"/>
        <v>76577.740000000005</v>
      </c>
      <c r="G17" s="181">
        <f>C17/F17</f>
        <v>3.7870012878416102E-5</v>
      </c>
      <c r="H17" s="48">
        <f t="shared" si="3"/>
        <v>0.47079950812835947</v>
      </c>
      <c r="I17" s="48">
        <f t="shared" si="4"/>
        <v>2.3539975406417973E-2</v>
      </c>
    </row>
    <row r="18" spans="1:10" s="2" customFormat="1" ht="17.25" customHeight="1" x14ac:dyDescent="0.25">
      <c r="A18" s="25">
        <v>11</v>
      </c>
      <c r="B18" s="26" t="s">
        <v>12</v>
      </c>
      <c r="C18" s="18"/>
      <c r="D18" s="110">
        <f>'факт. расх.'!D18</f>
        <v>415005.85</v>
      </c>
      <c r="E18" s="18">
        <v>527.4</v>
      </c>
      <c r="F18" s="11">
        <f>D18-E18</f>
        <v>414478.44999999995</v>
      </c>
      <c r="G18" s="164">
        <f t="shared" si="2"/>
        <v>0</v>
      </c>
      <c r="H18" s="48">
        <f t="shared" si="3"/>
        <v>1</v>
      </c>
      <c r="I18" s="48">
        <f t="shared" si="4"/>
        <v>0.05</v>
      </c>
    </row>
    <row r="19" spans="1:10" s="2" customFormat="1" ht="16.5" customHeight="1" thickBot="1" x14ac:dyDescent="0.3">
      <c r="A19" s="25">
        <v>12</v>
      </c>
      <c r="B19" s="27" t="s">
        <v>13</v>
      </c>
      <c r="C19" s="32">
        <v>4.3</v>
      </c>
      <c r="D19" s="110">
        <f>'факт. расх.'!D19</f>
        <v>60352.36</v>
      </c>
      <c r="E19" s="18">
        <v>263.60000000000002</v>
      </c>
      <c r="F19" s="11">
        <f t="shared" si="1"/>
        <v>60088.76</v>
      </c>
      <c r="G19" s="181">
        <f>C19/F19</f>
        <v>7.1560804383382181E-5</v>
      </c>
      <c r="H19" s="48">
        <f t="shared" si="3"/>
        <v>0</v>
      </c>
      <c r="I19" s="49">
        <f t="shared" si="4"/>
        <v>0</v>
      </c>
      <c r="J19" s="2" t="s">
        <v>63</v>
      </c>
    </row>
    <row r="20" spans="1:10" s="2" customFormat="1" ht="30.75" customHeight="1" thickBot="1" x14ac:dyDescent="0.3">
      <c r="A20" s="31"/>
      <c r="B20" s="33" t="s">
        <v>2</v>
      </c>
      <c r="C20" s="34">
        <f>SUM(C8:C19)</f>
        <v>22.7</v>
      </c>
      <c r="D20" s="34">
        <f>SUM(D8:D19)</f>
        <v>1658761.01</v>
      </c>
      <c r="E20" s="194">
        <f>SUM(E8:E19)</f>
        <v>3703.4</v>
      </c>
      <c r="F20" s="51">
        <f>SUM(F8:F19)</f>
        <v>1655057.61</v>
      </c>
      <c r="G20" s="165">
        <f t="shared" si="2"/>
        <v>1.3715534651388961E-5</v>
      </c>
      <c r="H20" s="113">
        <f t="shared" ref="H20" si="5">(0.00005078-G20)/(0.00005078-0)</f>
        <v>0.72990282293444353</v>
      </c>
      <c r="I20" s="113">
        <f>H20*0.05</f>
        <v>3.6495141146722178E-2</v>
      </c>
    </row>
    <row r="21" spans="1:10" ht="15.75" x14ac:dyDescent="0.25">
      <c r="A21" s="17"/>
      <c r="B21" s="17"/>
      <c r="C21" s="17"/>
      <c r="D21" s="17"/>
      <c r="E21" s="17"/>
      <c r="F21" s="121"/>
      <c r="G21" s="122"/>
    </row>
    <row r="22" spans="1:10" ht="18.75" x14ac:dyDescent="0.3">
      <c r="A22" s="230" t="s">
        <v>123</v>
      </c>
      <c r="B22" s="230"/>
      <c r="C22" s="230"/>
      <c r="D22" s="230"/>
      <c r="E22" s="230"/>
      <c r="F22" s="230"/>
      <c r="G22" s="230"/>
      <c r="H22" s="219" t="s">
        <v>124</v>
      </c>
      <c r="I22" s="219"/>
    </row>
    <row r="23" spans="1:10" ht="15.75" x14ac:dyDescent="0.25">
      <c r="A23" s="17"/>
      <c r="B23" s="17"/>
      <c r="C23" s="17"/>
      <c r="D23" s="17"/>
      <c r="E23" s="17"/>
      <c r="F23" s="17"/>
      <c r="G23" s="17"/>
    </row>
    <row r="24" spans="1:10" ht="15.75" x14ac:dyDescent="0.25">
      <c r="A24" s="17"/>
      <c r="B24" s="17"/>
      <c r="C24" s="17"/>
      <c r="D24" s="17"/>
      <c r="E24" s="17"/>
      <c r="F24" s="17"/>
      <c r="G24" s="17"/>
    </row>
    <row r="25" spans="1:10" ht="15.75" x14ac:dyDescent="0.25">
      <c r="A25" s="17"/>
      <c r="B25" s="5"/>
      <c r="C25" s="17"/>
      <c r="D25" s="17"/>
      <c r="E25" s="17"/>
      <c r="F25" s="17"/>
      <c r="G25" s="17"/>
    </row>
    <row r="26" spans="1:10" ht="18.75" x14ac:dyDescent="0.3">
      <c r="A26" s="4"/>
      <c r="B26" s="4"/>
      <c r="C26" s="4"/>
      <c r="D26" s="4"/>
      <c r="E26" s="4"/>
      <c r="F26" s="4"/>
      <c r="G26" s="4"/>
    </row>
    <row r="27" spans="1:10" ht="18.75" x14ac:dyDescent="0.3">
      <c r="A27" s="4"/>
      <c r="B27" s="4"/>
      <c r="C27" s="4"/>
      <c r="D27" s="4"/>
      <c r="E27" s="4"/>
      <c r="F27" s="4"/>
      <c r="G27" s="4"/>
    </row>
    <row r="28" spans="1:10" ht="18.75" x14ac:dyDescent="0.3">
      <c r="A28" s="4"/>
      <c r="B28" s="4"/>
      <c r="C28" s="4"/>
      <c r="D28" s="4"/>
      <c r="E28" s="4"/>
      <c r="F28" s="4"/>
      <c r="G28" s="4"/>
    </row>
    <row r="29" spans="1:10" ht="18.75" x14ac:dyDescent="0.3">
      <c r="A29" s="4"/>
      <c r="B29" s="4"/>
      <c r="C29" s="4"/>
      <c r="D29" s="4"/>
      <c r="E29" s="4"/>
      <c r="F29" s="4"/>
      <c r="G29" s="4"/>
    </row>
  </sheetData>
  <mergeCells count="12">
    <mergeCell ref="I2:I6"/>
    <mergeCell ref="A1:I1"/>
    <mergeCell ref="G2:G6"/>
    <mergeCell ref="H2:H6"/>
    <mergeCell ref="A22:G22"/>
    <mergeCell ref="E2:E6"/>
    <mergeCell ref="D2:D6"/>
    <mergeCell ref="A2:A6"/>
    <mergeCell ref="B2:B6"/>
    <mergeCell ref="C2:C6"/>
    <mergeCell ref="F2:F6"/>
    <mergeCell ref="H22:I22"/>
  </mergeCells>
  <dataValidations count="1">
    <dataValidation operator="notEqual" showErrorMessage="1" errorTitle="ОШИБКА" error="Должно быть целое положительное число!" sqref="C8:F8 F9:F19 D9:D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F7" sqref="F7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19.140625" style="1" customWidth="1"/>
    <col min="4" max="4" width="29.28515625" style="1" customWidth="1"/>
    <col min="5" max="5" width="36.140625" style="1" customWidth="1"/>
    <col min="6" max="6" width="18.5703125" style="1" customWidth="1"/>
    <col min="7" max="7" width="19.5703125" style="1" customWidth="1"/>
    <col min="8" max="16384" width="9.140625" style="1"/>
  </cols>
  <sheetData>
    <row r="1" spans="1:33" ht="48.75" customHeight="1" thickBot="1" x14ac:dyDescent="0.25">
      <c r="A1" s="234" t="s">
        <v>27</v>
      </c>
      <c r="B1" s="234"/>
      <c r="C1" s="234"/>
      <c r="D1" s="234"/>
      <c r="E1" s="234"/>
      <c r="F1" s="234"/>
      <c r="G1" s="234"/>
    </row>
    <row r="2" spans="1:33" ht="12.75" customHeight="1" x14ac:dyDescent="0.2">
      <c r="A2" s="236"/>
      <c r="B2" s="239" t="s">
        <v>19</v>
      </c>
      <c r="C2" s="239" t="s">
        <v>28</v>
      </c>
      <c r="D2" s="235" t="s">
        <v>29</v>
      </c>
      <c r="E2" s="231" t="s">
        <v>27</v>
      </c>
      <c r="F2" s="231" t="s">
        <v>59</v>
      </c>
      <c r="G2" s="231" t="s">
        <v>61</v>
      </c>
    </row>
    <row r="3" spans="1:33" ht="12.75" customHeight="1" x14ac:dyDescent="0.2">
      <c r="A3" s="237"/>
      <c r="B3" s="227" t="s">
        <v>0</v>
      </c>
      <c r="C3" s="227"/>
      <c r="D3" s="221"/>
      <c r="E3" s="232"/>
      <c r="F3" s="232"/>
      <c r="G3" s="232"/>
    </row>
    <row r="4" spans="1:33" ht="15.75" customHeight="1" x14ac:dyDescent="0.2">
      <c r="A4" s="237"/>
      <c r="B4" s="227" t="s">
        <v>1</v>
      </c>
      <c r="C4" s="227"/>
      <c r="D4" s="221"/>
      <c r="E4" s="232"/>
      <c r="F4" s="232"/>
      <c r="G4" s="232"/>
    </row>
    <row r="5" spans="1:33" ht="16.5" customHeight="1" x14ac:dyDescent="0.2">
      <c r="A5" s="237"/>
      <c r="B5" s="227"/>
      <c r="C5" s="227"/>
      <c r="D5" s="221"/>
      <c r="E5" s="232"/>
      <c r="F5" s="232"/>
      <c r="G5" s="232"/>
    </row>
    <row r="6" spans="1:33" ht="53.25" customHeight="1" x14ac:dyDescent="0.2">
      <c r="A6" s="238"/>
      <c r="B6" s="227"/>
      <c r="C6" s="227"/>
      <c r="D6" s="222"/>
      <c r="E6" s="233"/>
      <c r="F6" s="233"/>
      <c r="G6" s="233"/>
    </row>
    <row r="7" spans="1:33" ht="54.75" customHeight="1" x14ac:dyDescent="0.25">
      <c r="A7" s="19"/>
      <c r="B7" s="53">
        <v>1</v>
      </c>
      <c r="C7" s="20">
        <v>2</v>
      </c>
      <c r="D7" s="21">
        <v>3</v>
      </c>
      <c r="E7" s="22" t="s">
        <v>35</v>
      </c>
      <c r="F7" s="15" t="s">
        <v>60</v>
      </c>
      <c r="G7" s="22" t="s">
        <v>62</v>
      </c>
      <c r="H7" s="7"/>
    </row>
    <row r="8" spans="1:33" s="2" customFormat="1" ht="24.75" customHeight="1" x14ac:dyDescent="0.25">
      <c r="A8" s="23">
        <v>1</v>
      </c>
      <c r="B8" s="24" t="s">
        <v>14</v>
      </c>
      <c r="C8" s="18">
        <v>25191.1</v>
      </c>
      <c r="D8" s="177">
        <v>25622</v>
      </c>
      <c r="E8" s="123">
        <f t="shared" ref="E8:E20" si="0">C8/D8</f>
        <v>0.98318242135664657</v>
      </c>
      <c r="F8" s="50">
        <f>($E$9-E8)/($E$9-0.839)</f>
        <v>8.5981921192808841E-2</v>
      </c>
      <c r="G8" s="48">
        <f t="shared" ref="G8:G20" si="1">F8*0.05</f>
        <v>4.2990960596404424E-3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33.75" customHeight="1" x14ac:dyDescent="0.25">
      <c r="A9" s="25">
        <f t="shared" ref="A9:A15" si="2">A8+1</f>
        <v>2</v>
      </c>
      <c r="B9" s="26" t="s">
        <v>3</v>
      </c>
      <c r="C9" s="18">
        <v>6432</v>
      </c>
      <c r="D9" s="177">
        <v>6453</v>
      </c>
      <c r="E9" s="123">
        <f>C9/D9</f>
        <v>0.99674569967456994</v>
      </c>
      <c r="F9" s="50">
        <f t="shared" ref="F9:F19" si="3">($E$9-E9)/($E$9-0.839)</f>
        <v>0</v>
      </c>
      <c r="G9" s="48">
        <f t="shared" si="1"/>
        <v>0</v>
      </c>
      <c r="H9" s="2" t="s">
        <v>63</v>
      </c>
    </row>
    <row r="10" spans="1:33" s="2" customFormat="1" ht="29.25" customHeight="1" x14ac:dyDescent="0.25">
      <c r="A10" s="25">
        <f t="shared" si="2"/>
        <v>3</v>
      </c>
      <c r="B10" s="26" t="s">
        <v>4</v>
      </c>
      <c r="C10" s="18">
        <v>6367.2</v>
      </c>
      <c r="D10" s="177">
        <v>6746</v>
      </c>
      <c r="E10" s="123">
        <f t="shared" si="0"/>
        <v>0.9438482063445004</v>
      </c>
      <c r="F10" s="50">
        <f>($E$9-E10)/($E$9-0.839)</f>
        <v>0.33533398019215288</v>
      </c>
      <c r="G10" s="48">
        <f t="shared" si="1"/>
        <v>1.6766699009607644E-2</v>
      </c>
      <c r="H10" s="29"/>
      <c r="I10" s="8"/>
      <c r="J10" s="8"/>
    </row>
    <row r="11" spans="1:33" s="2" customFormat="1" ht="28.5" customHeight="1" x14ac:dyDescent="0.25">
      <c r="A11" s="25">
        <f t="shared" si="2"/>
        <v>4</v>
      </c>
      <c r="B11" s="26" t="s">
        <v>5</v>
      </c>
      <c r="C11" s="18">
        <v>6689.6</v>
      </c>
      <c r="D11" s="177">
        <v>6746</v>
      </c>
      <c r="E11" s="123">
        <f t="shared" si="0"/>
        <v>0.99163949006818863</v>
      </c>
      <c r="F11" s="50">
        <f t="shared" si="3"/>
        <v>3.23698815049503E-2</v>
      </c>
      <c r="G11" s="48">
        <f t="shared" si="1"/>
        <v>1.6184940752475151E-3</v>
      </c>
    </row>
    <row r="12" spans="1:33" s="2" customFormat="1" ht="28.5" customHeight="1" x14ac:dyDescent="0.25">
      <c r="A12" s="25">
        <f t="shared" si="2"/>
        <v>5</v>
      </c>
      <c r="B12" s="26" t="s">
        <v>6</v>
      </c>
      <c r="C12" s="18">
        <v>6991.1</v>
      </c>
      <c r="D12" s="177">
        <v>7040</v>
      </c>
      <c r="E12" s="123">
        <f t="shared" si="0"/>
        <v>0.99305397727272737</v>
      </c>
      <c r="F12" s="50">
        <f t="shared" si="3"/>
        <v>2.3402998683695379E-2</v>
      </c>
      <c r="G12" s="48">
        <f t="shared" si="1"/>
        <v>1.1701499341847689E-3</v>
      </c>
    </row>
    <row r="13" spans="1:33" s="2" customFormat="1" ht="27.75" customHeight="1" x14ac:dyDescent="0.25">
      <c r="A13" s="25">
        <f t="shared" si="2"/>
        <v>6</v>
      </c>
      <c r="B13" s="26" t="s">
        <v>7</v>
      </c>
      <c r="C13" s="18">
        <v>6840.5</v>
      </c>
      <c r="D13" s="177">
        <v>7040</v>
      </c>
      <c r="E13" s="123">
        <f t="shared" si="0"/>
        <v>0.97166193181818183</v>
      </c>
      <c r="F13" s="50">
        <f t="shared" si="3"/>
        <v>0.15901395669191631</v>
      </c>
      <c r="G13" s="48">
        <f t="shared" si="1"/>
        <v>7.9506978345958157E-3</v>
      </c>
    </row>
    <row r="14" spans="1:33" s="2" customFormat="1" ht="15.75" x14ac:dyDescent="0.25">
      <c r="A14" s="25">
        <f t="shared" si="2"/>
        <v>7</v>
      </c>
      <c r="B14" s="26" t="s">
        <v>8</v>
      </c>
      <c r="C14" s="18">
        <v>9513.9</v>
      </c>
      <c r="D14" s="177">
        <v>9574</v>
      </c>
      <c r="E14" s="123">
        <f t="shared" si="0"/>
        <v>0.99372258199289742</v>
      </c>
      <c r="F14" s="50">
        <f t="shared" si="3"/>
        <v>1.916450139629302E-2</v>
      </c>
      <c r="G14" s="48">
        <f t="shared" si="1"/>
        <v>9.5822506981465107E-4</v>
      </c>
    </row>
    <row r="15" spans="1:33" s="2" customFormat="1" ht="22.5" customHeight="1" x14ac:dyDescent="0.25">
      <c r="A15" s="25">
        <f t="shared" si="2"/>
        <v>8</v>
      </c>
      <c r="B15" s="26" t="s">
        <v>9</v>
      </c>
      <c r="C15" s="18">
        <v>6413.5</v>
      </c>
      <c r="D15" s="177">
        <v>6453</v>
      </c>
      <c r="E15" s="123">
        <f t="shared" si="0"/>
        <v>0.99387881605454831</v>
      </c>
      <c r="F15" s="50">
        <f t="shared" si="3"/>
        <v>1.8174084148956354E-2</v>
      </c>
      <c r="G15" s="48">
        <f t="shared" si="1"/>
        <v>9.087042074478178E-4</v>
      </c>
    </row>
    <row r="16" spans="1:33" s="2" customFormat="1" ht="24.75" customHeight="1" x14ac:dyDescent="0.25">
      <c r="A16" s="25">
        <v>9</v>
      </c>
      <c r="B16" s="26" t="s">
        <v>10</v>
      </c>
      <c r="C16" s="18">
        <v>5661</v>
      </c>
      <c r="D16" s="177">
        <v>6746</v>
      </c>
      <c r="E16" s="123">
        <f t="shared" si="0"/>
        <v>0.8391639490068189</v>
      </c>
      <c r="F16" s="50">
        <f t="shared" si="3"/>
        <v>0.99896067526939147</v>
      </c>
      <c r="G16" s="48">
        <f t="shared" si="1"/>
        <v>4.9948033763469575E-2</v>
      </c>
      <c r="H16" s="29" t="s">
        <v>58</v>
      </c>
    </row>
    <row r="17" spans="1:7" s="2" customFormat="1" ht="26.45" customHeight="1" x14ac:dyDescent="0.25">
      <c r="A17" s="25">
        <v>10</v>
      </c>
      <c r="B17" s="26" t="s">
        <v>11</v>
      </c>
      <c r="C17" s="18">
        <v>8471.2000000000007</v>
      </c>
      <c r="D17" s="177">
        <v>9903</v>
      </c>
      <c r="E17" s="123">
        <f t="shared" si="0"/>
        <v>0.85541755023730193</v>
      </c>
      <c r="F17" s="50">
        <f t="shared" si="3"/>
        <v>0.89592394422687005</v>
      </c>
      <c r="G17" s="48">
        <f t="shared" si="1"/>
        <v>4.4796197211343508E-2</v>
      </c>
    </row>
    <row r="18" spans="1:7" s="2" customFormat="1" ht="28.5" customHeight="1" x14ac:dyDescent="0.25">
      <c r="A18" s="25">
        <v>11</v>
      </c>
      <c r="B18" s="26" t="s">
        <v>12</v>
      </c>
      <c r="C18" s="18">
        <v>8619.2000000000007</v>
      </c>
      <c r="D18" s="177">
        <v>9574</v>
      </c>
      <c r="E18" s="123">
        <f t="shared" si="0"/>
        <v>0.90027156883225412</v>
      </c>
      <c r="F18" s="50">
        <f t="shared" si="3"/>
        <v>0.61158010038525523</v>
      </c>
      <c r="G18" s="48">
        <f t="shared" si="1"/>
        <v>3.0579005019262764E-2</v>
      </c>
    </row>
    <row r="19" spans="1:7" s="2" customFormat="1" ht="22.5" customHeight="1" thickBot="1" x14ac:dyDescent="0.3">
      <c r="A19" s="25">
        <v>12</v>
      </c>
      <c r="B19" s="27" t="s">
        <v>13</v>
      </c>
      <c r="C19" s="32">
        <v>6688</v>
      </c>
      <c r="D19" s="179">
        <v>6746</v>
      </c>
      <c r="E19" s="124">
        <f t="shared" si="0"/>
        <v>0.99140231248147048</v>
      </c>
      <c r="F19" s="50">
        <f t="shared" si="3"/>
        <v>3.3873425419031315E-2</v>
      </c>
      <c r="G19" s="49">
        <f t="shared" si="1"/>
        <v>1.6936712709515658E-3</v>
      </c>
    </row>
    <row r="20" spans="1:7" s="2" customFormat="1" ht="30.75" customHeight="1" thickBot="1" x14ac:dyDescent="0.3">
      <c r="A20" s="31"/>
      <c r="B20" s="33" t="s">
        <v>2</v>
      </c>
      <c r="C20" s="34">
        <f>SUM(C8:C19)</f>
        <v>103878.29999999999</v>
      </c>
      <c r="D20" s="35">
        <f>SUM(D8:D19)</f>
        <v>108643</v>
      </c>
      <c r="E20" s="69">
        <f t="shared" si="0"/>
        <v>0.95614351591911106</v>
      </c>
      <c r="F20" s="182">
        <f t="shared" ref="F20" si="4">(1-E20)/(1-0.818)</f>
        <v>0.24096969275213695</v>
      </c>
      <c r="G20" s="113">
        <f t="shared" si="1"/>
        <v>1.2048484637606847E-2</v>
      </c>
    </row>
    <row r="21" spans="1:7" ht="15.75" x14ac:dyDescent="0.25">
      <c r="A21" s="17"/>
      <c r="B21" s="17"/>
      <c r="C21" s="17"/>
      <c r="D21" s="17"/>
      <c r="E21" s="17"/>
    </row>
    <row r="22" spans="1:7" ht="18.75" x14ac:dyDescent="0.3">
      <c r="A22" s="230" t="s">
        <v>122</v>
      </c>
      <c r="B22" s="230"/>
      <c r="C22" s="230"/>
      <c r="D22" s="230"/>
      <c r="E22" s="230"/>
      <c r="F22" s="219" t="s">
        <v>124</v>
      </c>
      <c r="G22" s="219"/>
    </row>
    <row r="23" spans="1:7" ht="15.75" x14ac:dyDescent="0.25">
      <c r="A23" s="17"/>
      <c r="B23" s="17"/>
      <c r="C23" s="17"/>
      <c r="D23" s="17"/>
      <c r="E23" s="17"/>
    </row>
    <row r="24" spans="1:7" ht="15.75" x14ac:dyDescent="0.25">
      <c r="A24" s="17"/>
      <c r="B24" s="17"/>
      <c r="C24" s="17"/>
      <c r="D24" s="17"/>
      <c r="E24" s="17"/>
    </row>
    <row r="25" spans="1:7" ht="15.75" x14ac:dyDescent="0.25">
      <c r="A25" s="17"/>
      <c r="B25" s="5"/>
      <c r="C25" s="17"/>
      <c r="D25" s="17"/>
      <c r="E25" s="17"/>
    </row>
    <row r="26" spans="1:7" ht="18.75" x14ac:dyDescent="0.3">
      <c r="A26" s="4"/>
      <c r="B26" s="4"/>
      <c r="C26" s="4"/>
      <c r="D26" s="4"/>
      <c r="E26" s="4"/>
    </row>
    <row r="27" spans="1:7" ht="18.75" x14ac:dyDescent="0.3">
      <c r="A27" s="4"/>
      <c r="B27" s="4"/>
      <c r="C27" s="4"/>
      <c r="D27" s="4"/>
      <c r="E27" s="4"/>
    </row>
    <row r="28" spans="1:7" ht="18.75" x14ac:dyDescent="0.3">
      <c r="A28" s="4"/>
      <c r="B28" s="4"/>
      <c r="C28" s="4"/>
      <c r="D28" s="4"/>
      <c r="E28" s="4"/>
    </row>
    <row r="29" spans="1:7" ht="18.75" x14ac:dyDescent="0.3">
      <c r="A29" s="4"/>
      <c r="B29" s="4"/>
      <c r="C29" s="4"/>
      <c r="D29" s="4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:D8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2" sqref="L12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27.5703125" style="1" customWidth="1"/>
    <col min="4" max="4" width="30.85546875" style="1" customWidth="1"/>
    <col min="5" max="5" width="29.42578125" style="1" customWidth="1"/>
    <col min="6" max="6" width="19.140625" style="1" customWidth="1"/>
    <col min="7" max="7" width="20.140625" style="1" customWidth="1"/>
    <col min="8" max="16384" width="9.140625" style="1"/>
  </cols>
  <sheetData>
    <row r="1" spans="1:33" ht="27" customHeight="1" x14ac:dyDescent="0.2">
      <c r="A1" s="228" t="s">
        <v>30</v>
      </c>
      <c r="B1" s="228"/>
      <c r="C1" s="228"/>
      <c r="D1" s="228"/>
      <c r="E1" s="228"/>
      <c r="F1" s="228"/>
      <c r="G1" s="228"/>
    </row>
    <row r="2" spans="1:33" ht="12.75" customHeight="1" x14ac:dyDescent="0.2">
      <c r="A2" s="229"/>
      <c r="B2" s="227" t="s">
        <v>19</v>
      </c>
      <c r="C2" s="227" t="s">
        <v>108</v>
      </c>
      <c r="D2" s="227" t="s">
        <v>109</v>
      </c>
      <c r="E2" s="227" t="s">
        <v>30</v>
      </c>
      <c r="F2" s="227" t="s">
        <v>59</v>
      </c>
      <c r="G2" s="227" t="s">
        <v>61</v>
      </c>
    </row>
    <row r="3" spans="1:33" ht="12.75" customHeight="1" x14ac:dyDescent="0.2">
      <c r="A3" s="229"/>
      <c r="B3" s="227" t="s">
        <v>0</v>
      </c>
      <c r="C3" s="227"/>
      <c r="D3" s="227"/>
      <c r="E3" s="227"/>
      <c r="F3" s="227"/>
      <c r="G3" s="227"/>
    </row>
    <row r="4" spans="1:33" ht="15.75" customHeight="1" x14ac:dyDescent="0.2">
      <c r="A4" s="229"/>
      <c r="B4" s="227" t="s">
        <v>1</v>
      </c>
      <c r="C4" s="227"/>
      <c r="D4" s="227"/>
      <c r="E4" s="227"/>
      <c r="F4" s="227"/>
      <c r="G4" s="227"/>
    </row>
    <row r="5" spans="1:33" ht="16.5" customHeight="1" x14ac:dyDescent="0.2">
      <c r="A5" s="229"/>
      <c r="B5" s="227"/>
      <c r="C5" s="227"/>
      <c r="D5" s="227"/>
      <c r="E5" s="227"/>
      <c r="F5" s="227"/>
      <c r="G5" s="227"/>
    </row>
    <row r="6" spans="1:33" ht="41.25" customHeight="1" x14ac:dyDescent="0.2">
      <c r="A6" s="229"/>
      <c r="B6" s="227"/>
      <c r="C6" s="227"/>
      <c r="D6" s="227"/>
      <c r="E6" s="227"/>
      <c r="F6" s="227"/>
      <c r="G6" s="227"/>
    </row>
    <row r="7" spans="1:33" s="84" customFormat="1" ht="37.5" customHeight="1" x14ac:dyDescent="0.2">
      <c r="A7" s="47"/>
      <c r="B7" s="47">
        <v>1</v>
      </c>
      <c r="C7" s="15">
        <v>2</v>
      </c>
      <c r="D7" s="15">
        <v>3</v>
      </c>
      <c r="E7" s="15" t="s">
        <v>43</v>
      </c>
      <c r="F7" s="15" t="s">
        <v>60</v>
      </c>
      <c r="G7" s="15" t="s">
        <v>62</v>
      </c>
      <c r="H7" s="83"/>
    </row>
    <row r="8" spans="1:33" s="73" customFormat="1" ht="22.5" customHeight="1" x14ac:dyDescent="0.2">
      <c r="A8" s="72">
        <v>1</v>
      </c>
      <c r="B8" s="14" t="s">
        <v>14</v>
      </c>
      <c r="C8" s="114">
        <v>0</v>
      </c>
      <c r="D8" s="114">
        <v>0</v>
      </c>
      <c r="E8" s="114">
        <v>0</v>
      </c>
      <c r="F8" s="115">
        <v>1</v>
      </c>
      <c r="G8" s="159">
        <f>F8*0.05</f>
        <v>0.05</v>
      </c>
      <c r="H8" s="79" t="s">
        <v>58</v>
      </c>
      <c r="I8" s="79"/>
      <c r="J8" s="79"/>
      <c r="K8" s="79"/>
      <c r="L8" s="79"/>
      <c r="M8" s="79"/>
      <c r="N8" s="79"/>
      <c r="O8" s="79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s="73" customFormat="1" ht="22.5" customHeight="1" x14ac:dyDescent="0.2">
      <c r="A9" s="72">
        <f t="shared" ref="A9:A15" si="0">A8+1</f>
        <v>2</v>
      </c>
      <c r="B9" s="74" t="s">
        <v>3</v>
      </c>
      <c r="C9" s="150">
        <f>3476/(50769.12686-263.6)</f>
        <v>6.8824150862446823E-2</v>
      </c>
      <c r="D9" s="150">
        <f>3955.4/(42548.3329-249.1)</f>
        <v>9.3509970011772955E-2</v>
      </c>
      <c r="E9" s="150">
        <f>C9/D9*100</f>
        <v>73.600869355194774</v>
      </c>
      <c r="F9" s="178">
        <f>($E$19-E9)/($E$19-0)</f>
        <v>0.49397225783025156</v>
      </c>
      <c r="G9" s="159">
        <f t="shared" ref="G9:G19" si="1">F9*0.05</f>
        <v>2.4698612891512581E-2</v>
      </c>
    </row>
    <row r="10" spans="1:33" s="73" customFormat="1" ht="22.5" customHeight="1" x14ac:dyDescent="0.2">
      <c r="A10" s="72">
        <f t="shared" si="0"/>
        <v>3</v>
      </c>
      <c r="B10" s="74" t="s">
        <v>4</v>
      </c>
      <c r="C10" s="150">
        <f>3206.6/(74633.30064-263.6)</f>
        <v>4.3117021749517696E-2</v>
      </c>
      <c r="D10" s="150">
        <f>4008.3/(58338.59831-249.1)</f>
        <v>6.9002145251958191E-2</v>
      </c>
      <c r="E10" s="150">
        <f t="shared" ref="E10:E19" si="2">C10/D10*100</f>
        <v>62.486494575027848</v>
      </c>
      <c r="F10" s="178">
        <f>($E$19-E10)/($E$19-0)</f>
        <v>0.57038687120246856</v>
      </c>
      <c r="G10" s="159">
        <f t="shared" si="1"/>
        <v>2.8519343560123429E-2</v>
      </c>
      <c r="I10" s="81"/>
      <c r="J10" s="81"/>
    </row>
    <row r="11" spans="1:33" s="73" customFormat="1" ht="22.5" customHeight="1" x14ac:dyDescent="0.2">
      <c r="A11" s="72">
        <f t="shared" si="0"/>
        <v>4</v>
      </c>
      <c r="B11" s="74" t="s">
        <v>5</v>
      </c>
      <c r="C11" s="150">
        <f>3920.2/(150793.38551-263.6)</f>
        <v>2.6042686413976012E-2</v>
      </c>
      <c r="D11" s="150">
        <f>2775.3/(104282.23462-249.1)</f>
        <v>2.6677077549737301E-2</v>
      </c>
      <c r="E11" s="150">
        <f t="shared" si="2"/>
        <v>97.621961646366557</v>
      </c>
      <c r="F11" s="178">
        <f>($E$19-E11)/($E$19-0)</f>
        <v>0.32882014477718907</v>
      </c>
      <c r="G11" s="159">
        <f t="shared" si="1"/>
        <v>1.6441007238859454E-2</v>
      </c>
    </row>
    <row r="12" spans="1:33" s="73" customFormat="1" ht="22.5" customHeight="1" x14ac:dyDescent="0.2">
      <c r="A12" s="72">
        <f t="shared" si="0"/>
        <v>5</v>
      </c>
      <c r="B12" s="74" t="s">
        <v>6</v>
      </c>
      <c r="C12" s="150">
        <v>0</v>
      </c>
      <c r="D12" s="150">
        <v>0</v>
      </c>
      <c r="E12" s="150"/>
      <c r="F12" s="115">
        <v>1</v>
      </c>
      <c r="G12" s="159">
        <f t="shared" si="1"/>
        <v>0.05</v>
      </c>
    </row>
    <row r="13" spans="1:33" s="73" customFormat="1" ht="22.5" customHeight="1" x14ac:dyDescent="0.2">
      <c r="A13" s="72">
        <f t="shared" si="0"/>
        <v>6</v>
      </c>
      <c r="B13" s="74" t="s">
        <v>7</v>
      </c>
      <c r="C13" s="150">
        <f>7576.1/(78898.41199-263.6)</f>
        <v>9.6345369287122548E-2</v>
      </c>
      <c r="D13" s="150">
        <f>9470.1/(53706.45024-249.1)</f>
        <v>0.17715243942102282</v>
      </c>
      <c r="E13" s="150">
        <f t="shared" si="2"/>
        <v>54.385573013841984</v>
      </c>
      <c r="F13" s="178">
        <f>($E$19-E13)/($E$19-0)</f>
        <v>0.62608310255155908</v>
      </c>
      <c r="G13" s="159">
        <f t="shared" si="1"/>
        <v>3.1304155127577955E-2</v>
      </c>
    </row>
    <row r="14" spans="1:33" s="73" customFormat="1" ht="22.5" customHeight="1" x14ac:dyDescent="0.2">
      <c r="A14" s="72">
        <f t="shared" si="0"/>
        <v>7</v>
      </c>
      <c r="B14" s="74" t="s">
        <v>8</v>
      </c>
      <c r="C14" s="150">
        <f>17028.1/(72431.61464-527.4)</f>
        <v>0.23681643816365863</v>
      </c>
      <c r="D14" s="150">
        <f>18376.4/(62810.69255-495.79357)</f>
        <v>0.29489576811956186</v>
      </c>
      <c r="E14" s="150">
        <f t="shared" si="2"/>
        <v>80.305132784287466</v>
      </c>
      <c r="F14" s="178">
        <f t="shared" ref="F14:F15" si="3">($E$19-E14)/($E$19-0)</f>
        <v>0.44787846416101218</v>
      </c>
      <c r="G14" s="159">
        <f t="shared" si="1"/>
        <v>2.2393923208050611E-2</v>
      </c>
    </row>
    <row r="15" spans="1:33" s="73" customFormat="1" ht="22.5" customHeight="1" x14ac:dyDescent="0.2">
      <c r="A15" s="72">
        <f t="shared" si="0"/>
        <v>8</v>
      </c>
      <c r="B15" s="74" t="s">
        <v>9</v>
      </c>
      <c r="C15" s="150">
        <f>6057.3/(68367.71242-263.6)</f>
        <v>8.8941765552195434E-2</v>
      </c>
      <c r="D15" s="150">
        <f>6994.1/(70882.73108-249.1)</f>
        <v>9.901940326525828E-2</v>
      </c>
      <c r="E15" s="150">
        <f t="shared" si="2"/>
        <v>89.822562668786901</v>
      </c>
      <c r="F15" s="178">
        <f t="shared" si="3"/>
        <v>0.38244331919730368</v>
      </c>
      <c r="G15" s="159">
        <f t="shared" si="1"/>
        <v>1.9122165959865184E-2</v>
      </c>
    </row>
    <row r="16" spans="1:33" s="73" customFormat="1" ht="22.5" customHeight="1" x14ac:dyDescent="0.2">
      <c r="A16" s="72">
        <v>9</v>
      </c>
      <c r="B16" s="74" t="s">
        <v>10</v>
      </c>
      <c r="C16" s="150">
        <v>0</v>
      </c>
      <c r="D16" s="150">
        <v>0</v>
      </c>
      <c r="E16" s="150"/>
      <c r="F16" s="115">
        <v>1</v>
      </c>
      <c r="G16" s="159">
        <f t="shared" si="1"/>
        <v>0.05</v>
      </c>
      <c r="H16" s="79"/>
    </row>
    <row r="17" spans="1:8" s="73" customFormat="1" ht="22.5" customHeight="1" x14ac:dyDescent="0.2">
      <c r="A17" s="72">
        <v>10</v>
      </c>
      <c r="B17" s="74" t="s">
        <v>11</v>
      </c>
      <c r="C17" s="150">
        <f>1413.3/(87128.17553-527.4)</f>
        <v>1.6319715283732172E-2</v>
      </c>
      <c r="D17" s="150">
        <f>1766.6/(82394.14314-498.2)</f>
        <v>2.1571276088487329E-2</v>
      </c>
      <c r="E17" s="150">
        <f t="shared" si="2"/>
        <v>75.654844047182095</v>
      </c>
      <c r="F17" s="178">
        <f>($E$19-E17)/($E$19-0)</f>
        <v>0.47985057441854889</v>
      </c>
      <c r="G17" s="159">
        <f t="shared" si="1"/>
        <v>2.3992528720927445E-2</v>
      </c>
      <c r="H17" s="79"/>
    </row>
    <row r="18" spans="1:8" s="73" customFormat="1" ht="22.5" customHeight="1" x14ac:dyDescent="0.2">
      <c r="A18" s="72">
        <v>11</v>
      </c>
      <c r="B18" s="74" t="s">
        <v>12</v>
      </c>
      <c r="C18" s="150">
        <v>0</v>
      </c>
      <c r="D18" s="195">
        <v>0</v>
      </c>
      <c r="E18" s="150"/>
      <c r="F18" s="115">
        <v>1</v>
      </c>
      <c r="G18" s="159">
        <f t="shared" si="1"/>
        <v>0.05</v>
      </c>
      <c r="H18" s="79"/>
    </row>
    <row r="19" spans="1:8" s="73" customFormat="1" ht="22.5" customHeight="1" thickBot="1" x14ac:dyDescent="0.25">
      <c r="A19" s="75">
        <v>12</v>
      </c>
      <c r="B19" s="76" t="s">
        <v>13</v>
      </c>
      <c r="C19" s="150">
        <f>3887.4/(55708.48026-263.6)</f>
        <v>7.0112875738402761E-2</v>
      </c>
      <c r="D19" s="150">
        <f>5577.7/(115957.79313-249.1)</f>
        <v>4.8204675457991668E-2</v>
      </c>
      <c r="E19" s="150">
        <f t="shared" si="2"/>
        <v>145.44828913847405</v>
      </c>
      <c r="F19" s="178">
        <f>($E$19-E19)/($E$19-0)</f>
        <v>0</v>
      </c>
      <c r="G19" s="160">
        <f t="shared" si="1"/>
        <v>0</v>
      </c>
      <c r="H19" s="73" t="s">
        <v>63</v>
      </c>
    </row>
    <row r="20" spans="1:8" s="73" customFormat="1" ht="22.5" customHeight="1" thickBot="1" x14ac:dyDescent="0.25">
      <c r="A20" s="82"/>
      <c r="B20" s="78" t="s">
        <v>2</v>
      </c>
      <c r="C20" s="107">
        <f>SUM(C8:C19)</f>
        <v>0.64652002305105216</v>
      </c>
      <c r="D20" s="107">
        <f>SUM(D8:D19)</f>
        <v>0.83003275516579034</v>
      </c>
      <c r="E20" s="101">
        <f>C20/D20*100</f>
        <v>77.890904789885866</v>
      </c>
      <c r="F20" s="101">
        <f>(E20-0)/186.176</f>
        <v>0.41837242603711472</v>
      </c>
      <c r="G20" s="216">
        <f>F20*0.05</f>
        <v>2.0918621301855737E-2</v>
      </c>
    </row>
    <row r="21" spans="1:8" ht="15.75" x14ac:dyDescent="0.25">
      <c r="A21" s="17"/>
      <c r="B21" s="17"/>
      <c r="C21" s="17"/>
      <c r="D21" s="17"/>
      <c r="E21" s="17"/>
    </row>
    <row r="22" spans="1:8" ht="18.75" x14ac:dyDescent="0.3">
      <c r="A22" s="230" t="s">
        <v>125</v>
      </c>
      <c r="B22" s="230"/>
      <c r="C22" s="230"/>
      <c r="D22" s="230"/>
      <c r="E22" s="230"/>
      <c r="F22" s="219" t="s">
        <v>124</v>
      </c>
      <c r="G22" s="219"/>
      <c r="H22" s="215"/>
    </row>
    <row r="23" spans="1:8" ht="15.75" x14ac:dyDescent="0.25">
      <c r="A23" s="17"/>
      <c r="B23" s="17"/>
      <c r="C23" s="17"/>
      <c r="D23" s="17"/>
      <c r="E23" s="17"/>
    </row>
    <row r="24" spans="1:8" ht="15.75" x14ac:dyDescent="0.25">
      <c r="A24" s="17"/>
      <c r="B24" s="17"/>
      <c r="C24" s="17"/>
      <c r="D24" s="17"/>
      <c r="E24" s="17"/>
    </row>
    <row r="25" spans="1:8" ht="15.75" x14ac:dyDescent="0.25">
      <c r="A25" s="17"/>
      <c r="B25" s="5"/>
      <c r="C25" s="17"/>
      <c r="D25" s="17"/>
      <c r="E25" s="17"/>
    </row>
    <row r="26" spans="1:8" ht="18.75" x14ac:dyDescent="0.3">
      <c r="A26" s="4"/>
      <c r="B26" s="4"/>
      <c r="C26" s="4"/>
      <c r="D26" s="4"/>
      <c r="E26" s="4"/>
    </row>
    <row r="27" spans="1:8" ht="18.75" x14ac:dyDescent="0.3">
      <c r="A27" s="4"/>
      <c r="B27" s="4"/>
      <c r="C27" s="4"/>
      <c r="D27" s="4"/>
      <c r="E27" s="4"/>
    </row>
    <row r="28" spans="1:8" ht="18.75" x14ac:dyDescent="0.3">
      <c r="A28" s="4"/>
      <c r="B28" s="4"/>
      <c r="C28" s="4"/>
      <c r="D28" s="4"/>
      <c r="E28" s="4"/>
    </row>
    <row r="29" spans="1:8" ht="18.75" x14ac:dyDescent="0.3">
      <c r="A29" s="4"/>
      <c r="B29" s="4"/>
      <c r="C29" s="4"/>
      <c r="D29" s="4"/>
      <c r="E29" s="4"/>
    </row>
  </sheetData>
  <mergeCells count="10">
    <mergeCell ref="G2:G6"/>
    <mergeCell ref="A1:G1"/>
    <mergeCell ref="F2:F6"/>
    <mergeCell ref="A22:E22"/>
    <mergeCell ref="A2:A6"/>
    <mergeCell ref="B2:B6"/>
    <mergeCell ref="C2:C6"/>
    <mergeCell ref="D2:D6"/>
    <mergeCell ref="E2:E6"/>
    <mergeCell ref="F22:G22"/>
  </mergeCells>
  <dataValidations count="1">
    <dataValidation operator="notEqual" showErrorMessage="1" errorTitle="ОШИБКА" error="Должно быть целое положительное число!" sqref="C8:D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P9" sqref="P9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19.140625" style="1" customWidth="1"/>
    <col min="4" max="4" width="37.7109375" style="1" customWidth="1"/>
    <col min="5" max="5" width="29.42578125" style="1" customWidth="1"/>
    <col min="6" max="6" width="20.140625" style="1" customWidth="1"/>
    <col min="7" max="7" width="19.7109375" style="1" customWidth="1"/>
    <col min="8" max="16384" width="9.140625" style="1"/>
  </cols>
  <sheetData>
    <row r="1" spans="1:33" ht="33" customHeight="1" thickBot="1" x14ac:dyDescent="0.25">
      <c r="A1" s="234" t="s">
        <v>31</v>
      </c>
      <c r="B1" s="234"/>
      <c r="C1" s="234"/>
      <c r="D1" s="234"/>
      <c r="E1" s="234"/>
      <c r="F1" s="234"/>
      <c r="G1" s="234"/>
    </row>
    <row r="2" spans="1:33" ht="12.75" customHeight="1" x14ac:dyDescent="0.2">
      <c r="A2" s="236"/>
      <c r="B2" s="239" t="s">
        <v>19</v>
      </c>
      <c r="C2" s="239" t="s">
        <v>32</v>
      </c>
      <c r="D2" s="235" t="s">
        <v>22</v>
      </c>
      <c r="E2" s="231" t="s">
        <v>31</v>
      </c>
      <c r="F2" s="231" t="s">
        <v>59</v>
      </c>
      <c r="G2" s="231" t="s">
        <v>61</v>
      </c>
    </row>
    <row r="3" spans="1:33" ht="12.75" customHeight="1" x14ac:dyDescent="0.2">
      <c r="A3" s="237"/>
      <c r="B3" s="227" t="s">
        <v>0</v>
      </c>
      <c r="C3" s="227"/>
      <c r="D3" s="221"/>
      <c r="E3" s="232"/>
      <c r="F3" s="232"/>
      <c r="G3" s="232"/>
    </row>
    <row r="4" spans="1:33" ht="15.75" customHeight="1" x14ac:dyDescent="0.2">
      <c r="A4" s="237"/>
      <c r="B4" s="227" t="s">
        <v>1</v>
      </c>
      <c r="C4" s="227"/>
      <c r="D4" s="221"/>
      <c r="E4" s="232"/>
      <c r="F4" s="232"/>
      <c r="G4" s="232"/>
    </row>
    <row r="5" spans="1:33" ht="16.5" customHeight="1" x14ac:dyDescent="0.2">
      <c r="A5" s="237"/>
      <c r="B5" s="227"/>
      <c r="C5" s="227"/>
      <c r="D5" s="221"/>
      <c r="E5" s="232"/>
      <c r="F5" s="232"/>
      <c r="G5" s="232"/>
    </row>
    <row r="6" spans="1:33" ht="105.75" customHeight="1" x14ac:dyDescent="0.2">
      <c r="A6" s="238"/>
      <c r="B6" s="227"/>
      <c r="C6" s="227"/>
      <c r="D6" s="222"/>
      <c r="E6" s="233"/>
      <c r="F6" s="233"/>
      <c r="G6" s="233"/>
    </row>
    <row r="7" spans="1:33" ht="37.5" customHeight="1" x14ac:dyDescent="0.25">
      <c r="A7" s="19"/>
      <c r="B7" s="13">
        <v>1</v>
      </c>
      <c r="C7" s="20">
        <v>2</v>
      </c>
      <c r="D7" s="21">
        <v>3</v>
      </c>
      <c r="E7" s="22" t="s">
        <v>43</v>
      </c>
      <c r="F7" s="15" t="s">
        <v>60</v>
      </c>
      <c r="G7" s="22" t="s">
        <v>62</v>
      </c>
      <c r="H7" s="7"/>
    </row>
    <row r="8" spans="1:33" s="2" customFormat="1" ht="24.75" customHeight="1" x14ac:dyDescent="0.25">
      <c r="A8" s="23">
        <v>1</v>
      </c>
      <c r="B8" s="24" t="s">
        <v>14</v>
      </c>
      <c r="C8" s="18">
        <v>0</v>
      </c>
      <c r="D8" s="125">
        <v>492400.11</v>
      </c>
      <c r="E8" s="28">
        <f>C8/D8*100</f>
        <v>0</v>
      </c>
      <c r="F8" s="126">
        <v>1</v>
      </c>
      <c r="G8" s="127">
        <f>F8*0.05</f>
        <v>0.05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33.75" customHeight="1" x14ac:dyDescent="0.25">
      <c r="A9" s="25">
        <f t="shared" ref="A9:A15" si="0">A8+1</f>
        <v>2</v>
      </c>
      <c r="B9" s="26" t="s">
        <v>3</v>
      </c>
      <c r="C9" s="18">
        <v>0</v>
      </c>
      <c r="D9" s="125">
        <v>51221.99</v>
      </c>
      <c r="E9" s="28">
        <f t="shared" ref="E9:E20" si="1">C9/D9*100</f>
        <v>0</v>
      </c>
      <c r="F9" s="128">
        <v>1</v>
      </c>
      <c r="G9" s="127">
        <f t="shared" ref="G9:G19" si="2">F9*0.05</f>
        <v>0.05</v>
      </c>
      <c r="H9" s="46"/>
    </row>
    <row r="10" spans="1:33" s="2" customFormat="1" ht="29.25" customHeight="1" x14ac:dyDescent="0.25">
      <c r="A10" s="25">
        <f t="shared" si="0"/>
        <v>3</v>
      </c>
      <c r="B10" s="26" t="s">
        <v>4</v>
      </c>
      <c r="C10" s="18">
        <v>0</v>
      </c>
      <c r="D10" s="125">
        <v>73908.34</v>
      </c>
      <c r="E10" s="28">
        <f t="shared" si="1"/>
        <v>0</v>
      </c>
      <c r="F10" s="129">
        <v>1</v>
      </c>
      <c r="G10" s="127">
        <f t="shared" si="2"/>
        <v>0.05</v>
      </c>
      <c r="H10" s="8"/>
      <c r="I10" s="8"/>
      <c r="J10" s="8"/>
    </row>
    <row r="11" spans="1:33" s="2" customFormat="1" ht="28.5" customHeight="1" x14ac:dyDescent="0.25">
      <c r="A11" s="25">
        <f t="shared" si="0"/>
        <v>4</v>
      </c>
      <c r="B11" s="26" t="s">
        <v>5</v>
      </c>
      <c r="C11" s="18">
        <v>0</v>
      </c>
      <c r="D11" s="125">
        <v>142215.32</v>
      </c>
      <c r="E11" s="28">
        <f t="shared" si="1"/>
        <v>0</v>
      </c>
      <c r="F11" s="126">
        <v>1</v>
      </c>
      <c r="G11" s="127">
        <f t="shared" si="2"/>
        <v>0.05</v>
      </c>
    </row>
    <row r="12" spans="1:33" s="2" customFormat="1" ht="28.5" customHeight="1" x14ac:dyDescent="0.25">
      <c r="A12" s="25">
        <f t="shared" si="0"/>
        <v>5</v>
      </c>
      <c r="B12" s="26" t="s">
        <v>6</v>
      </c>
      <c r="C12" s="18">
        <v>0</v>
      </c>
      <c r="D12" s="125">
        <v>66411.27</v>
      </c>
      <c r="E12" s="28">
        <f t="shared" si="1"/>
        <v>0</v>
      </c>
      <c r="F12" s="126">
        <v>1</v>
      </c>
      <c r="G12" s="127">
        <f t="shared" si="2"/>
        <v>0.05</v>
      </c>
    </row>
    <row r="13" spans="1:33" s="2" customFormat="1" ht="27.75" customHeight="1" x14ac:dyDescent="0.25">
      <c r="A13" s="25">
        <f t="shared" si="0"/>
        <v>6</v>
      </c>
      <c r="B13" s="26" t="s">
        <v>7</v>
      </c>
      <c r="C13" s="18">
        <v>0</v>
      </c>
      <c r="D13" s="125">
        <v>75107.63</v>
      </c>
      <c r="E13" s="28">
        <f t="shared" si="1"/>
        <v>0</v>
      </c>
      <c r="F13" s="126">
        <v>1</v>
      </c>
      <c r="G13" s="127">
        <f t="shared" si="2"/>
        <v>0.05</v>
      </c>
      <c r="H13" s="2" t="s">
        <v>63</v>
      </c>
    </row>
    <row r="14" spans="1:33" s="2" customFormat="1" ht="15.75" x14ac:dyDescent="0.25">
      <c r="A14" s="25">
        <f t="shared" si="0"/>
        <v>7</v>
      </c>
      <c r="B14" s="26" t="s">
        <v>8</v>
      </c>
      <c r="C14" s="18">
        <v>0</v>
      </c>
      <c r="D14" s="125">
        <v>68927.990000000005</v>
      </c>
      <c r="E14" s="28">
        <f t="shared" si="1"/>
        <v>0</v>
      </c>
      <c r="F14" s="126">
        <v>1</v>
      </c>
      <c r="G14" s="127">
        <f t="shared" si="2"/>
        <v>0.05</v>
      </c>
    </row>
    <row r="15" spans="1:33" s="2" customFormat="1" ht="22.5" customHeight="1" x14ac:dyDescent="0.25">
      <c r="A15" s="25">
        <f t="shared" si="0"/>
        <v>8</v>
      </c>
      <c r="B15" s="26" t="s">
        <v>9</v>
      </c>
      <c r="C15" s="18">
        <v>0</v>
      </c>
      <c r="D15" s="125">
        <v>65811.539999999994</v>
      </c>
      <c r="E15" s="28">
        <f t="shared" si="1"/>
        <v>0</v>
      </c>
      <c r="F15" s="126">
        <v>1</v>
      </c>
      <c r="G15" s="127">
        <f t="shared" si="2"/>
        <v>0.05</v>
      </c>
    </row>
    <row r="16" spans="1:33" s="2" customFormat="1" ht="24.75" customHeight="1" x14ac:dyDescent="0.25">
      <c r="A16" s="25">
        <v>9</v>
      </c>
      <c r="B16" s="26" t="s">
        <v>10</v>
      </c>
      <c r="C16" s="18">
        <v>0</v>
      </c>
      <c r="D16" s="125">
        <v>67908.47</v>
      </c>
      <c r="E16" s="28">
        <f t="shared" si="1"/>
        <v>0</v>
      </c>
      <c r="F16" s="126">
        <v>1</v>
      </c>
      <c r="G16" s="127">
        <f t="shared" si="2"/>
        <v>0.05</v>
      </c>
    </row>
    <row r="17" spans="1:7" s="2" customFormat="1" ht="30.75" customHeight="1" x14ac:dyDescent="0.25">
      <c r="A17" s="25">
        <v>10</v>
      </c>
      <c r="B17" s="26" t="s">
        <v>11</v>
      </c>
      <c r="C17" s="18">
        <v>0</v>
      </c>
      <c r="D17" s="125">
        <v>76577.740000000005</v>
      </c>
      <c r="E17" s="28">
        <f t="shared" si="1"/>
        <v>0</v>
      </c>
      <c r="F17" s="126">
        <v>1</v>
      </c>
      <c r="G17" s="127">
        <f t="shared" si="2"/>
        <v>0.05</v>
      </c>
    </row>
    <row r="18" spans="1:7" s="2" customFormat="1" ht="28.5" customHeight="1" x14ac:dyDescent="0.25">
      <c r="A18" s="25">
        <v>11</v>
      </c>
      <c r="B18" s="26" t="s">
        <v>12</v>
      </c>
      <c r="C18" s="18">
        <v>0</v>
      </c>
      <c r="D18" s="125">
        <v>414478.45</v>
      </c>
      <c r="E18" s="28">
        <f t="shared" si="1"/>
        <v>0</v>
      </c>
      <c r="F18" s="126">
        <v>1</v>
      </c>
      <c r="G18" s="127">
        <f t="shared" si="2"/>
        <v>0.05</v>
      </c>
    </row>
    <row r="19" spans="1:7" s="2" customFormat="1" ht="22.5" customHeight="1" thickBot="1" x14ac:dyDescent="0.3">
      <c r="A19" s="25">
        <v>12</v>
      </c>
      <c r="B19" s="27" t="s">
        <v>13</v>
      </c>
      <c r="C19" s="32">
        <v>0</v>
      </c>
      <c r="D19" s="125">
        <v>60088.76</v>
      </c>
      <c r="E19" s="36">
        <f t="shared" si="1"/>
        <v>0</v>
      </c>
      <c r="F19" s="130">
        <v>1</v>
      </c>
      <c r="G19" s="127">
        <f t="shared" si="2"/>
        <v>0.05</v>
      </c>
    </row>
    <row r="20" spans="1:7" s="2" customFormat="1" ht="15" customHeight="1" thickBot="1" x14ac:dyDescent="0.3">
      <c r="A20" s="31"/>
      <c r="B20" s="33" t="s">
        <v>2</v>
      </c>
      <c r="C20" s="34">
        <f>SUM(C8:C19)</f>
        <v>0</v>
      </c>
      <c r="D20" s="35">
        <f>SUM(D8:D19)</f>
        <v>1655057.61</v>
      </c>
      <c r="E20" s="52">
        <f t="shared" si="1"/>
        <v>0</v>
      </c>
      <c r="F20" s="54">
        <v>1</v>
      </c>
      <c r="G20" s="68">
        <f>F20*0.05</f>
        <v>0.05</v>
      </c>
    </row>
    <row r="21" spans="1:7" ht="15.75" x14ac:dyDescent="0.25">
      <c r="A21" s="17"/>
      <c r="B21" s="17"/>
      <c r="C21" s="17"/>
      <c r="D21" s="17"/>
      <c r="E21" s="17"/>
    </row>
    <row r="22" spans="1:7" ht="18.75" x14ac:dyDescent="0.3">
      <c r="A22" s="230" t="s">
        <v>126</v>
      </c>
      <c r="B22" s="230"/>
      <c r="C22" s="230"/>
      <c r="D22" s="230"/>
      <c r="E22" s="230"/>
      <c r="F22" s="219" t="s">
        <v>124</v>
      </c>
      <c r="G22" s="219"/>
    </row>
    <row r="23" spans="1:7" ht="15.75" x14ac:dyDescent="0.25">
      <c r="A23" s="17"/>
      <c r="B23" s="17"/>
      <c r="C23" s="17"/>
      <c r="D23" s="17"/>
      <c r="E23" s="17"/>
    </row>
    <row r="24" spans="1:7" ht="15.75" x14ac:dyDescent="0.25">
      <c r="A24" s="17"/>
      <c r="B24" s="17"/>
      <c r="C24" s="17"/>
      <c r="D24" s="17"/>
      <c r="E24" s="17"/>
    </row>
    <row r="25" spans="1:7" ht="15.75" x14ac:dyDescent="0.25">
      <c r="A25" s="17"/>
      <c r="B25" s="5"/>
      <c r="C25" s="17"/>
      <c r="D25" s="17"/>
      <c r="E25" s="17"/>
    </row>
    <row r="26" spans="1:7" ht="18.75" x14ac:dyDescent="0.3">
      <c r="A26" s="4"/>
      <c r="B26" s="4"/>
      <c r="C26" s="4"/>
      <c r="D26" s="4"/>
      <c r="E26" s="4"/>
    </row>
    <row r="27" spans="1:7" ht="18.75" x14ac:dyDescent="0.3">
      <c r="A27" s="4"/>
      <c r="B27" s="4"/>
      <c r="C27" s="4"/>
      <c r="D27" s="4"/>
      <c r="E27" s="4"/>
    </row>
    <row r="28" spans="1:7" ht="18.75" x14ac:dyDescent="0.3">
      <c r="A28" s="4"/>
      <c r="B28" s="4"/>
      <c r="C28" s="4"/>
      <c r="D28" s="4"/>
      <c r="E28" s="4"/>
    </row>
    <row r="29" spans="1:7" ht="18.75" x14ac:dyDescent="0.3">
      <c r="A29" s="4"/>
      <c r="B29" s="4"/>
      <c r="C29" s="4"/>
      <c r="D29" s="4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:D8 D9:D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8" sqref="F18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23.42578125" style="1" customWidth="1"/>
    <col min="4" max="4" width="23.7109375" style="1" customWidth="1"/>
    <col min="5" max="5" width="29.42578125" style="1" customWidth="1"/>
    <col min="6" max="7" width="20.140625" style="1" customWidth="1"/>
    <col min="8" max="16384" width="9.140625" style="1"/>
  </cols>
  <sheetData>
    <row r="1" spans="1:33" ht="47.25" customHeight="1" x14ac:dyDescent="0.2">
      <c r="A1" s="228" t="s">
        <v>33</v>
      </c>
      <c r="B1" s="228"/>
      <c r="C1" s="228"/>
      <c r="D1" s="228"/>
      <c r="E1" s="228"/>
      <c r="F1" s="228"/>
      <c r="G1" s="228"/>
    </row>
    <row r="2" spans="1:33" ht="12.75" customHeight="1" x14ac:dyDescent="0.2">
      <c r="A2" s="229"/>
      <c r="B2" s="227" t="s">
        <v>19</v>
      </c>
      <c r="C2" s="227" t="s">
        <v>120</v>
      </c>
      <c r="D2" s="227" t="s">
        <v>115</v>
      </c>
      <c r="E2" s="227" t="s">
        <v>33</v>
      </c>
      <c r="F2" s="227" t="s">
        <v>59</v>
      </c>
      <c r="G2" s="227" t="s">
        <v>61</v>
      </c>
    </row>
    <row r="3" spans="1:33" ht="12.75" customHeight="1" x14ac:dyDescent="0.2">
      <c r="A3" s="229"/>
      <c r="B3" s="227" t="s">
        <v>0</v>
      </c>
      <c r="C3" s="227"/>
      <c r="D3" s="227"/>
      <c r="E3" s="227"/>
      <c r="F3" s="227"/>
      <c r="G3" s="227"/>
    </row>
    <row r="4" spans="1:33" ht="15.75" customHeight="1" x14ac:dyDescent="0.2">
      <c r="A4" s="229"/>
      <c r="B4" s="227" t="s">
        <v>1</v>
      </c>
      <c r="C4" s="227"/>
      <c r="D4" s="227"/>
      <c r="E4" s="227"/>
      <c r="F4" s="227"/>
      <c r="G4" s="227"/>
    </row>
    <row r="5" spans="1:33" ht="16.5" customHeight="1" x14ac:dyDescent="0.2">
      <c r="A5" s="229"/>
      <c r="B5" s="227"/>
      <c r="C5" s="227"/>
      <c r="D5" s="227"/>
      <c r="E5" s="227"/>
      <c r="F5" s="227"/>
      <c r="G5" s="227"/>
    </row>
    <row r="6" spans="1:33" ht="58.5" customHeight="1" x14ac:dyDescent="0.2">
      <c r="A6" s="229"/>
      <c r="B6" s="227"/>
      <c r="C6" s="227"/>
      <c r="D6" s="227"/>
      <c r="E6" s="227"/>
      <c r="F6" s="227"/>
      <c r="G6" s="227"/>
    </row>
    <row r="7" spans="1:33" s="84" customFormat="1" ht="40.5" customHeight="1" x14ac:dyDescent="0.2">
      <c r="A7" s="47"/>
      <c r="B7" s="47">
        <v>1</v>
      </c>
      <c r="C7" s="15">
        <v>2</v>
      </c>
      <c r="D7" s="15">
        <v>3</v>
      </c>
      <c r="E7" s="15" t="s">
        <v>43</v>
      </c>
      <c r="F7" s="15" t="s">
        <v>66</v>
      </c>
      <c r="G7" s="15" t="s">
        <v>62</v>
      </c>
      <c r="H7" s="83"/>
    </row>
    <row r="8" spans="1:33" s="2" customFormat="1" ht="24" customHeight="1" x14ac:dyDescent="0.25">
      <c r="A8" s="111">
        <v>1</v>
      </c>
      <c r="B8" s="14" t="s">
        <v>14</v>
      </c>
      <c r="C8" s="196">
        <v>267786.64533000003</v>
      </c>
      <c r="D8" s="196">
        <v>248039.10613999999</v>
      </c>
      <c r="E8" s="151">
        <f>C8/D8*100</f>
        <v>107.96146200383983</v>
      </c>
      <c r="F8" s="152">
        <f t="shared" ref="F8:F20" si="0">(E8-93.222)/(158.987-93.222)</f>
        <v>0.22412319628738436</v>
      </c>
      <c r="G8" s="152">
        <f>F8*0.05</f>
        <v>1.1206159814369218E-2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24" customHeight="1" x14ac:dyDescent="0.2">
      <c r="A9" s="72">
        <f t="shared" ref="A9:A15" si="1">A8+1</f>
        <v>2</v>
      </c>
      <c r="B9" s="74" t="s">
        <v>3</v>
      </c>
      <c r="C9" s="196">
        <v>22755.76469</v>
      </c>
      <c r="D9" s="196">
        <v>20260.45995</v>
      </c>
      <c r="E9" s="151">
        <f t="shared" ref="E9:E19" si="2">C9/D9*100</f>
        <v>112.3161307599041</v>
      </c>
      <c r="F9" s="152">
        <f t="shared" si="0"/>
        <v>0.29033879358175479</v>
      </c>
      <c r="G9" s="152">
        <f t="shared" ref="G9:G19" si="3">F9*0.05</f>
        <v>1.451693967908774E-2</v>
      </c>
    </row>
    <row r="10" spans="1:33" s="2" customFormat="1" ht="24" customHeight="1" x14ac:dyDescent="0.2">
      <c r="A10" s="72">
        <f t="shared" si="1"/>
        <v>3</v>
      </c>
      <c r="B10" s="74" t="s">
        <v>4</v>
      </c>
      <c r="C10" s="196">
        <v>39458.62962</v>
      </c>
      <c r="D10" s="196">
        <v>37598.680529999998</v>
      </c>
      <c r="E10" s="151">
        <f t="shared" si="2"/>
        <v>104.94684670786771</v>
      </c>
      <c r="F10" s="152">
        <f t="shared" si="0"/>
        <v>0.17828399160446609</v>
      </c>
      <c r="G10" s="152">
        <f t="shared" si="3"/>
        <v>8.9141995802233046E-3</v>
      </c>
      <c r="I10" s="8"/>
      <c r="J10" s="8"/>
    </row>
    <row r="11" spans="1:33" s="2" customFormat="1" ht="24" customHeight="1" x14ac:dyDescent="0.2">
      <c r="A11" s="72">
        <f t="shared" si="1"/>
        <v>4</v>
      </c>
      <c r="B11" s="74" t="s">
        <v>5</v>
      </c>
      <c r="C11" s="196">
        <v>38169.895429999997</v>
      </c>
      <c r="D11" s="196">
        <v>30857.357739999999</v>
      </c>
      <c r="E11" s="151">
        <f t="shared" si="2"/>
        <v>123.6978737830195</v>
      </c>
      <c r="F11" s="152">
        <f t="shared" si="0"/>
        <v>0.46340566841054526</v>
      </c>
      <c r="G11" s="152">
        <f t="shared" si="3"/>
        <v>2.3170283420527266E-2</v>
      </c>
    </row>
    <row r="12" spans="1:33" s="2" customFormat="1" ht="24" customHeight="1" x14ac:dyDescent="0.2">
      <c r="A12" s="72">
        <f t="shared" si="1"/>
        <v>5</v>
      </c>
      <c r="B12" s="74" t="s">
        <v>6</v>
      </c>
      <c r="C12" s="196">
        <v>56179.50477</v>
      </c>
      <c r="D12" s="196">
        <v>60264.06007</v>
      </c>
      <c r="E12" s="151">
        <f t="shared" si="2"/>
        <v>93.222236777184335</v>
      </c>
      <c r="F12" s="152">
        <f t="shared" si="0"/>
        <v>3.600352533125648E-6</v>
      </c>
      <c r="G12" s="152">
        <f t="shared" si="3"/>
        <v>1.8001762665628241E-7</v>
      </c>
      <c r="H12" s="2" t="s">
        <v>58</v>
      </c>
    </row>
    <row r="13" spans="1:33" s="2" customFormat="1" ht="24" customHeight="1" x14ac:dyDescent="0.2">
      <c r="A13" s="72">
        <f t="shared" si="1"/>
        <v>6</v>
      </c>
      <c r="B13" s="74" t="s">
        <v>7</v>
      </c>
      <c r="C13" s="196">
        <v>44286.507490000004</v>
      </c>
      <c r="D13" s="196">
        <v>27855.352070000001</v>
      </c>
      <c r="E13" s="151">
        <f t="shared" si="2"/>
        <v>158.9874268280968</v>
      </c>
      <c r="F13" s="152">
        <f t="shared" si="0"/>
        <v>1.0000064902014263</v>
      </c>
      <c r="G13" s="152">
        <f t="shared" si="3"/>
        <v>5.0000324510071317E-2</v>
      </c>
      <c r="H13" s="2" t="s">
        <v>63</v>
      </c>
    </row>
    <row r="14" spans="1:33" s="2" customFormat="1" ht="24" customHeight="1" x14ac:dyDescent="0.2">
      <c r="A14" s="72">
        <f t="shared" si="1"/>
        <v>7</v>
      </c>
      <c r="B14" s="74" t="s">
        <v>8</v>
      </c>
      <c r="C14" s="196">
        <v>37829.078809999999</v>
      </c>
      <c r="D14" s="196">
        <v>28883.95105</v>
      </c>
      <c r="E14" s="151">
        <f t="shared" si="2"/>
        <v>130.96919720060251</v>
      </c>
      <c r="F14" s="152">
        <f t="shared" si="0"/>
        <v>0.57397091462940031</v>
      </c>
      <c r="G14" s="152">
        <f t="shared" si="3"/>
        <v>2.8698545731470015E-2</v>
      </c>
    </row>
    <row r="15" spans="1:33" s="2" customFormat="1" ht="24" customHeight="1" x14ac:dyDescent="0.2">
      <c r="A15" s="72">
        <f t="shared" si="1"/>
        <v>8</v>
      </c>
      <c r="B15" s="74" t="s">
        <v>9</v>
      </c>
      <c r="C15" s="196">
        <v>27861.626390000001</v>
      </c>
      <c r="D15" s="196">
        <v>22925.812689999999</v>
      </c>
      <c r="E15" s="151">
        <f t="shared" si="2"/>
        <v>121.52950373773643</v>
      </c>
      <c r="F15" s="152">
        <f t="shared" si="0"/>
        <v>0.43043417832793185</v>
      </c>
      <c r="G15" s="152">
        <f t="shared" si="3"/>
        <v>2.1521708916396595E-2</v>
      </c>
    </row>
    <row r="16" spans="1:33" s="2" customFormat="1" ht="24" customHeight="1" x14ac:dyDescent="0.2">
      <c r="A16" s="72">
        <v>9</v>
      </c>
      <c r="B16" s="74" t="s">
        <v>10</v>
      </c>
      <c r="C16" s="196">
        <v>55513.104619999998</v>
      </c>
      <c r="D16" s="196">
        <v>47772.740149999998</v>
      </c>
      <c r="E16" s="151">
        <f t="shared" si="2"/>
        <v>116.20247121202655</v>
      </c>
      <c r="F16" s="152">
        <f t="shared" si="0"/>
        <v>0.34943315155518218</v>
      </c>
      <c r="G16" s="152">
        <f t="shared" si="3"/>
        <v>1.7471657577759109E-2</v>
      </c>
    </row>
    <row r="17" spans="1:7" s="2" customFormat="1" ht="24" customHeight="1" x14ac:dyDescent="0.2">
      <c r="A17" s="72">
        <v>10</v>
      </c>
      <c r="B17" s="74" t="s">
        <v>11</v>
      </c>
      <c r="C17" s="196">
        <v>64227.81048</v>
      </c>
      <c r="D17" s="196">
        <v>59003.909740000003</v>
      </c>
      <c r="E17" s="151">
        <f t="shared" si="2"/>
        <v>108.85348235908272</v>
      </c>
      <c r="F17" s="152">
        <f t="shared" si="0"/>
        <v>0.23768695140397969</v>
      </c>
      <c r="G17" s="152">
        <f t="shared" si="3"/>
        <v>1.1884347570198985E-2</v>
      </c>
    </row>
    <row r="18" spans="1:7" s="2" customFormat="1" ht="24" customHeight="1" x14ac:dyDescent="0.2">
      <c r="A18" s="72">
        <v>11</v>
      </c>
      <c r="B18" s="74" t="s">
        <v>12</v>
      </c>
      <c r="C18" s="196">
        <v>396090.94323999999</v>
      </c>
      <c r="D18" s="196">
        <v>312630.27181000001</v>
      </c>
      <c r="E18" s="151">
        <f t="shared" si="2"/>
        <v>126.69628598241533</v>
      </c>
      <c r="F18" s="152">
        <f t="shared" si="0"/>
        <v>0.50899849437261979</v>
      </c>
      <c r="G18" s="152">
        <f t="shared" si="3"/>
        <v>2.544992471863099E-2</v>
      </c>
    </row>
    <row r="19" spans="1:7" s="2" customFormat="1" ht="24" customHeight="1" thickBot="1" x14ac:dyDescent="0.25">
      <c r="A19" s="75">
        <v>12</v>
      </c>
      <c r="B19" s="76" t="s">
        <v>13</v>
      </c>
      <c r="C19" s="197">
        <v>41829.846019999997</v>
      </c>
      <c r="D19" s="197">
        <v>32772.018880000003</v>
      </c>
      <c r="E19" s="198">
        <f t="shared" si="2"/>
        <v>127.63890492424859</v>
      </c>
      <c r="F19" s="156">
        <f t="shared" si="0"/>
        <v>0.52333163421650719</v>
      </c>
      <c r="G19" s="156">
        <f t="shared" si="3"/>
        <v>2.6166581710825362E-2</v>
      </c>
    </row>
    <row r="20" spans="1:7" s="2" customFormat="1" ht="24" customHeight="1" thickBot="1" x14ac:dyDescent="0.25">
      <c r="A20" s="82"/>
      <c r="B20" s="78" t="s">
        <v>2</v>
      </c>
      <c r="C20" s="199">
        <f>SUM(C8:C19)</f>
        <v>1091989.3568899999</v>
      </c>
      <c r="D20" s="199">
        <f>SUM(D8:D19)</f>
        <v>928863.72082000005</v>
      </c>
      <c r="E20" s="200">
        <f>C20/D20*100</f>
        <v>117.56184813914281</v>
      </c>
      <c r="F20" s="201">
        <f t="shared" si="0"/>
        <v>0.37010337016867356</v>
      </c>
      <c r="G20" s="202">
        <f>F20*0.05</f>
        <v>1.8505168508433679E-2</v>
      </c>
    </row>
    <row r="21" spans="1:7" ht="15.75" x14ac:dyDescent="0.25">
      <c r="A21" s="17"/>
      <c r="B21" s="17"/>
      <c r="C21" s="17"/>
      <c r="D21" s="17"/>
      <c r="E21" s="17"/>
    </row>
    <row r="22" spans="1:7" ht="18.75" x14ac:dyDescent="0.3">
      <c r="A22" s="230" t="s">
        <v>127</v>
      </c>
      <c r="B22" s="230"/>
      <c r="C22" s="230"/>
      <c r="D22" s="230"/>
      <c r="E22" s="230"/>
      <c r="F22" s="219" t="s">
        <v>124</v>
      </c>
      <c r="G22" s="219"/>
    </row>
    <row r="23" spans="1:7" ht="15.75" x14ac:dyDescent="0.25">
      <c r="A23" s="17"/>
      <c r="B23" s="17"/>
      <c r="C23" s="17"/>
      <c r="D23" s="17"/>
      <c r="E23" s="17"/>
    </row>
    <row r="24" spans="1:7" ht="15.75" x14ac:dyDescent="0.25">
      <c r="A24" s="17"/>
      <c r="B24" s="17"/>
      <c r="C24" s="17"/>
      <c r="D24" s="17"/>
      <c r="E24" s="17"/>
    </row>
    <row r="25" spans="1:7" ht="15.75" x14ac:dyDescent="0.25">
      <c r="A25" s="17"/>
      <c r="B25" s="5"/>
      <c r="C25" s="17"/>
      <c r="D25" s="17"/>
      <c r="E25" s="17"/>
    </row>
    <row r="26" spans="1:7" ht="18.75" x14ac:dyDescent="0.3">
      <c r="A26" s="4"/>
      <c r="B26" s="4"/>
      <c r="C26" s="4"/>
      <c r="D26" s="4"/>
      <c r="E26" s="4"/>
    </row>
    <row r="27" spans="1:7" ht="18.75" x14ac:dyDescent="0.3">
      <c r="A27" s="4"/>
      <c r="B27" s="4"/>
      <c r="C27" s="4"/>
      <c r="D27" s="4"/>
      <c r="E27" s="4"/>
    </row>
    <row r="28" spans="1:7" ht="18.75" x14ac:dyDescent="0.3">
      <c r="A28" s="4"/>
      <c r="B28" s="4"/>
      <c r="C28" s="4"/>
      <c r="D28" s="4"/>
      <c r="E28" s="4"/>
    </row>
    <row r="29" spans="1:7" ht="18.75" x14ac:dyDescent="0.3">
      <c r="A29" s="4"/>
      <c r="B29" s="4"/>
      <c r="C29" s="4"/>
      <c r="D29" s="4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:D19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3" sqref="F13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26.7109375" style="1" customWidth="1"/>
    <col min="4" max="4" width="28" style="39" customWidth="1"/>
    <col min="5" max="5" width="29.42578125" style="1" customWidth="1"/>
    <col min="6" max="6" width="21.42578125" style="1" customWidth="1"/>
    <col min="7" max="7" width="16.7109375" style="1" customWidth="1"/>
    <col min="8" max="16384" width="9.140625" style="1"/>
  </cols>
  <sheetData>
    <row r="1" spans="1:33" ht="30" customHeight="1" x14ac:dyDescent="0.2">
      <c r="A1" s="228" t="s">
        <v>105</v>
      </c>
      <c r="B1" s="228"/>
      <c r="C1" s="228"/>
      <c r="D1" s="228"/>
      <c r="E1" s="228"/>
      <c r="F1" s="228"/>
      <c r="G1" s="228"/>
    </row>
    <row r="2" spans="1:33" ht="12.75" customHeight="1" x14ac:dyDescent="0.2">
      <c r="A2" s="240"/>
      <c r="B2" s="227" t="s">
        <v>19</v>
      </c>
      <c r="C2" s="227" t="s">
        <v>36</v>
      </c>
      <c r="D2" s="227" t="s">
        <v>37</v>
      </c>
      <c r="E2" s="227" t="s">
        <v>105</v>
      </c>
      <c r="F2" s="227" t="s">
        <v>59</v>
      </c>
      <c r="G2" s="227" t="s">
        <v>61</v>
      </c>
    </row>
    <row r="3" spans="1:33" ht="12.75" customHeight="1" x14ac:dyDescent="0.2">
      <c r="A3" s="240"/>
      <c r="B3" s="227" t="s">
        <v>0</v>
      </c>
      <c r="C3" s="227"/>
      <c r="D3" s="227"/>
      <c r="E3" s="227"/>
      <c r="F3" s="227"/>
      <c r="G3" s="227"/>
    </row>
    <row r="4" spans="1:33" ht="15.75" customHeight="1" x14ac:dyDescent="0.2">
      <c r="A4" s="240"/>
      <c r="B4" s="227" t="s">
        <v>1</v>
      </c>
      <c r="C4" s="227"/>
      <c r="D4" s="227"/>
      <c r="E4" s="227"/>
      <c r="F4" s="227"/>
      <c r="G4" s="227"/>
    </row>
    <row r="5" spans="1:33" ht="16.5" customHeight="1" x14ac:dyDescent="0.2">
      <c r="A5" s="240"/>
      <c r="B5" s="227"/>
      <c r="C5" s="227"/>
      <c r="D5" s="227"/>
      <c r="E5" s="227"/>
      <c r="F5" s="227"/>
      <c r="G5" s="227"/>
    </row>
    <row r="6" spans="1:33" ht="57.75" customHeight="1" x14ac:dyDescent="0.2">
      <c r="A6" s="240"/>
      <c r="B6" s="227"/>
      <c r="C6" s="227"/>
      <c r="D6" s="227"/>
      <c r="E6" s="227"/>
      <c r="F6" s="227"/>
      <c r="G6" s="227"/>
    </row>
    <row r="7" spans="1:33" ht="36" customHeight="1" x14ac:dyDescent="0.2">
      <c r="A7" s="47"/>
      <c r="B7" s="47">
        <v>1</v>
      </c>
      <c r="C7" s="15">
        <v>2</v>
      </c>
      <c r="D7" s="15">
        <v>3</v>
      </c>
      <c r="E7" s="15" t="s">
        <v>34</v>
      </c>
      <c r="F7" s="15" t="s">
        <v>60</v>
      </c>
      <c r="G7" s="15" t="s">
        <v>62</v>
      </c>
      <c r="H7" s="7"/>
    </row>
    <row r="8" spans="1:33" s="2" customFormat="1" ht="24" customHeight="1" x14ac:dyDescent="0.2">
      <c r="A8" s="72">
        <v>1</v>
      </c>
      <c r="B8" s="14" t="s">
        <v>14</v>
      </c>
      <c r="C8" s="104">
        <v>10432.4</v>
      </c>
      <c r="D8" s="104">
        <v>11678</v>
      </c>
      <c r="E8" s="104">
        <f>D8/C8*100</f>
        <v>111.93972623749089</v>
      </c>
      <c r="F8" s="159">
        <f t="shared" ref="F8:F20" si="0">(210.6-E8)/(210.6-103.7)</f>
        <v>0.92292117645003846</v>
      </c>
      <c r="G8" s="159">
        <f>F8*0.05</f>
        <v>4.6146058822501924E-2</v>
      </c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24" customHeight="1" x14ac:dyDescent="0.2">
      <c r="A9" s="72">
        <f t="shared" ref="A9:A15" si="1">A8+1</f>
        <v>2</v>
      </c>
      <c r="B9" s="74" t="s">
        <v>3</v>
      </c>
      <c r="C9" s="104">
        <v>2314.6</v>
      </c>
      <c r="D9" s="104">
        <v>2606.8000000000002</v>
      </c>
      <c r="E9" s="104">
        <f t="shared" ref="E9:E19" si="2">D9/C9*100</f>
        <v>112.62421152682971</v>
      </c>
      <c r="F9" s="159">
        <f t="shared" si="0"/>
        <v>0.91651813351889888</v>
      </c>
      <c r="G9" s="159">
        <f t="shared" ref="G9:G19" si="3">F9*0.05</f>
        <v>4.5825906675944945E-2</v>
      </c>
      <c r="H9" s="46"/>
    </row>
    <row r="10" spans="1:33" s="2" customFormat="1" ht="24" customHeight="1" x14ac:dyDescent="0.2">
      <c r="A10" s="72">
        <f t="shared" si="1"/>
        <v>3</v>
      </c>
      <c r="B10" s="74" t="s">
        <v>4</v>
      </c>
      <c r="C10" s="104">
        <v>685.9</v>
      </c>
      <c r="D10" s="104">
        <v>883.5</v>
      </c>
      <c r="E10" s="104">
        <f t="shared" si="2"/>
        <v>128.80886426592798</v>
      </c>
      <c r="F10" s="159">
        <f t="shared" si="0"/>
        <v>0.76511820144127241</v>
      </c>
      <c r="G10" s="159">
        <f t="shared" si="3"/>
        <v>3.8255910072063623E-2</v>
      </c>
      <c r="I10" s="8"/>
      <c r="J10" s="8"/>
    </row>
    <row r="11" spans="1:33" s="2" customFormat="1" ht="24" customHeight="1" x14ac:dyDescent="0.2">
      <c r="A11" s="72">
        <f t="shared" si="1"/>
        <v>4</v>
      </c>
      <c r="B11" s="74" t="s">
        <v>5</v>
      </c>
      <c r="C11" s="104">
        <v>3204.4</v>
      </c>
      <c r="D11" s="104">
        <v>4656.3999999999996</v>
      </c>
      <c r="E11" s="104">
        <f t="shared" si="2"/>
        <v>145.31269504431407</v>
      </c>
      <c r="F11" s="159">
        <f t="shared" si="0"/>
        <v>0.61073250660136513</v>
      </c>
      <c r="G11" s="159">
        <f t="shared" si="3"/>
        <v>3.0536625330068259E-2</v>
      </c>
    </row>
    <row r="12" spans="1:33" s="2" customFormat="1" ht="24" customHeight="1" x14ac:dyDescent="0.2">
      <c r="A12" s="72">
        <f t="shared" si="1"/>
        <v>5</v>
      </c>
      <c r="B12" s="74" t="s">
        <v>6</v>
      </c>
      <c r="C12" s="104">
        <v>1229.5999999999999</v>
      </c>
      <c r="D12" s="104">
        <v>1376.5</v>
      </c>
      <c r="E12" s="104">
        <f t="shared" si="2"/>
        <v>111.9469746258946</v>
      </c>
      <c r="F12" s="159">
        <f t="shared" si="0"/>
        <v>0.92285337113288501</v>
      </c>
      <c r="G12" s="159">
        <f t="shared" si="3"/>
        <v>4.6142668556644256E-2</v>
      </c>
    </row>
    <row r="13" spans="1:33" s="2" customFormat="1" ht="24" customHeight="1" x14ac:dyDescent="0.2">
      <c r="A13" s="72">
        <f t="shared" si="1"/>
        <v>6</v>
      </c>
      <c r="B13" s="74" t="s">
        <v>7</v>
      </c>
      <c r="C13" s="104">
        <v>2153.3000000000002</v>
      </c>
      <c r="D13" s="104">
        <v>2288.5</v>
      </c>
      <c r="E13" s="104">
        <f t="shared" si="2"/>
        <v>106.27873496493754</v>
      </c>
      <c r="F13" s="159">
        <f t="shared" si="0"/>
        <v>0.97587712848514929</v>
      </c>
      <c r="G13" s="159">
        <f t="shared" si="3"/>
        <v>4.8793856424257466E-2</v>
      </c>
    </row>
    <row r="14" spans="1:33" s="2" customFormat="1" ht="24" customHeight="1" x14ac:dyDescent="0.2">
      <c r="A14" s="72">
        <f t="shared" si="1"/>
        <v>7</v>
      </c>
      <c r="B14" s="74" t="s">
        <v>8</v>
      </c>
      <c r="C14" s="104">
        <v>2445.9</v>
      </c>
      <c r="D14" s="104">
        <v>2877.9</v>
      </c>
      <c r="E14" s="104">
        <f t="shared" si="2"/>
        <v>117.66221022936342</v>
      </c>
      <c r="F14" s="159">
        <f t="shared" si="0"/>
        <v>0.86938998849987448</v>
      </c>
      <c r="G14" s="159">
        <f t="shared" si="3"/>
        <v>4.3469499424993729E-2</v>
      </c>
    </row>
    <row r="15" spans="1:33" s="2" customFormat="1" ht="24" customHeight="1" x14ac:dyDescent="0.2">
      <c r="A15" s="72">
        <f t="shared" si="1"/>
        <v>8</v>
      </c>
      <c r="B15" s="74" t="s">
        <v>9</v>
      </c>
      <c r="C15" s="104">
        <v>2552.1</v>
      </c>
      <c r="D15" s="104">
        <v>2682.5</v>
      </c>
      <c r="E15" s="104">
        <f t="shared" si="2"/>
        <v>105.10951765212961</v>
      </c>
      <c r="F15" s="159">
        <f t="shared" si="0"/>
        <v>0.98681461504088297</v>
      </c>
      <c r="G15" s="159">
        <f t="shared" si="3"/>
        <v>4.9340730752044148E-2</v>
      </c>
    </row>
    <row r="16" spans="1:33" s="2" customFormat="1" ht="24" customHeight="1" x14ac:dyDescent="0.2">
      <c r="A16" s="72">
        <v>9</v>
      </c>
      <c r="B16" s="74" t="s">
        <v>10</v>
      </c>
      <c r="C16" s="104">
        <v>1354.3</v>
      </c>
      <c r="D16" s="104">
        <v>1754.9</v>
      </c>
      <c r="E16" s="104">
        <f t="shared" si="2"/>
        <v>129.57985675256592</v>
      </c>
      <c r="F16" s="159">
        <f t="shared" si="0"/>
        <v>0.75790592373652088</v>
      </c>
      <c r="G16" s="159">
        <f t="shared" si="3"/>
        <v>3.789529618682605E-2</v>
      </c>
    </row>
    <row r="17" spans="1:8" s="2" customFormat="1" ht="24" customHeight="1" x14ac:dyDescent="0.2">
      <c r="A17" s="72">
        <v>10</v>
      </c>
      <c r="B17" s="74" t="s">
        <v>11</v>
      </c>
      <c r="C17" s="104">
        <v>3040.5</v>
      </c>
      <c r="D17" s="104">
        <v>3154.1</v>
      </c>
      <c r="E17" s="104">
        <f t="shared" si="2"/>
        <v>103.73622759414569</v>
      </c>
      <c r="F17" s="159">
        <f t="shared" si="0"/>
        <v>0.99966110763193938</v>
      </c>
      <c r="G17" s="159">
        <f t="shared" si="3"/>
        <v>4.9983055381596975E-2</v>
      </c>
      <c r="H17" s="2" t="s">
        <v>58</v>
      </c>
    </row>
    <row r="18" spans="1:8" s="2" customFormat="1" ht="24" customHeight="1" x14ac:dyDescent="0.2">
      <c r="A18" s="72">
        <v>11</v>
      </c>
      <c r="B18" s="74" t="s">
        <v>12</v>
      </c>
      <c r="C18" s="104">
        <v>3316.6</v>
      </c>
      <c r="D18" s="104">
        <v>4503.7</v>
      </c>
      <c r="E18" s="104">
        <f t="shared" si="2"/>
        <v>135.79267924983415</v>
      </c>
      <c r="F18" s="159">
        <f t="shared" si="0"/>
        <v>0.69978784611941858</v>
      </c>
      <c r="G18" s="159">
        <f t="shared" si="3"/>
        <v>3.498939230597093E-2</v>
      </c>
    </row>
    <row r="19" spans="1:8" s="2" customFormat="1" ht="24" customHeight="1" thickBot="1" x14ac:dyDescent="0.25">
      <c r="A19" s="75">
        <v>12</v>
      </c>
      <c r="B19" s="76" t="s">
        <v>13</v>
      </c>
      <c r="C19" s="193">
        <v>2012.8</v>
      </c>
      <c r="D19" s="193">
        <v>4239.3999999999996</v>
      </c>
      <c r="E19" s="203">
        <f t="shared" si="2"/>
        <v>210.62201907790143</v>
      </c>
      <c r="F19" s="160">
        <f t="shared" si="0"/>
        <v>-2.0597827784315338E-4</v>
      </c>
      <c r="G19" s="160">
        <f t="shared" si="3"/>
        <v>-1.029891389215767E-5</v>
      </c>
      <c r="H19" s="2" t="s">
        <v>63</v>
      </c>
    </row>
    <row r="20" spans="1:8" s="2" customFormat="1" ht="24" customHeight="1" thickBot="1" x14ac:dyDescent="0.25">
      <c r="A20" s="82"/>
      <c r="B20" s="78" t="s">
        <v>2</v>
      </c>
      <c r="C20" s="105">
        <f>SUM(C8:C19)</f>
        <v>34742.399999999994</v>
      </c>
      <c r="D20" s="105">
        <f>SUM(D8:D19)</f>
        <v>42702.2</v>
      </c>
      <c r="E20" s="172">
        <f>D20/C20*100</f>
        <v>122.91091001197385</v>
      </c>
      <c r="F20" s="214">
        <f t="shared" si="0"/>
        <v>0.82029083244177869</v>
      </c>
      <c r="G20" s="102">
        <f>F20*0.05</f>
        <v>4.1014541622088938E-2</v>
      </c>
    </row>
    <row r="21" spans="1:8" ht="15.75" x14ac:dyDescent="0.25">
      <c r="A21" s="17"/>
      <c r="B21" s="17"/>
      <c r="C21" s="17"/>
      <c r="D21" s="6"/>
      <c r="E21" s="17"/>
    </row>
    <row r="22" spans="1:8" ht="18.75" x14ac:dyDescent="0.3">
      <c r="A22" s="230" t="s">
        <v>128</v>
      </c>
      <c r="B22" s="230"/>
      <c r="C22" s="230"/>
      <c r="D22" s="230"/>
      <c r="E22" s="230"/>
      <c r="F22" s="219" t="s">
        <v>124</v>
      </c>
      <c r="G22" s="219"/>
    </row>
    <row r="23" spans="1:8" ht="15.75" x14ac:dyDescent="0.25">
      <c r="A23" s="17"/>
      <c r="B23" s="17"/>
      <c r="C23" s="17"/>
      <c r="D23" s="6"/>
      <c r="E23" s="17"/>
    </row>
    <row r="24" spans="1:8" ht="15.75" x14ac:dyDescent="0.25">
      <c r="A24" s="17"/>
      <c r="B24" s="17"/>
      <c r="C24" s="17"/>
      <c r="D24" s="6"/>
      <c r="E24" s="17"/>
    </row>
    <row r="25" spans="1:8" ht="15.75" x14ac:dyDescent="0.25">
      <c r="A25" s="17"/>
      <c r="B25" s="5"/>
      <c r="C25" s="17"/>
      <c r="D25" s="6"/>
      <c r="E25" s="17"/>
    </row>
    <row r="26" spans="1:8" ht="18.75" x14ac:dyDescent="0.3">
      <c r="A26" s="4"/>
      <c r="B26" s="4"/>
      <c r="C26" s="4"/>
      <c r="D26" s="10"/>
      <c r="E26" s="4"/>
    </row>
    <row r="27" spans="1:8" ht="18.75" x14ac:dyDescent="0.3">
      <c r="A27" s="4"/>
      <c r="B27" s="4"/>
      <c r="C27" s="4"/>
      <c r="D27" s="10"/>
      <c r="E27" s="4"/>
    </row>
    <row r="28" spans="1:8" ht="18.75" x14ac:dyDescent="0.3">
      <c r="A28" s="4"/>
      <c r="B28" s="4"/>
      <c r="C28" s="4"/>
      <c r="D28" s="10"/>
      <c r="E28" s="4"/>
    </row>
    <row r="29" spans="1:8" ht="18.75" x14ac:dyDescent="0.3">
      <c r="A29" s="4"/>
      <c r="B29" s="4"/>
      <c r="C29" s="4"/>
      <c r="D29" s="10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showZero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0" sqref="F20"/>
    </sheetView>
  </sheetViews>
  <sheetFormatPr defaultColWidth="9.140625" defaultRowHeight="12.75" x14ac:dyDescent="0.2"/>
  <cols>
    <col min="1" max="1" width="4.140625" style="1" customWidth="1"/>
    <col min="2" max="2" width="22.7109375" style="1" customWidth="1"/>
    <col min="3" max="3" width="22" style="1" customWidth="1"/>
    <col min="4" max="4" width="23.7109375" style="39" customWidth="1"/>
    <col min="5" max="5" width="35.85546875" style="1" customWidth="1"/>
    <col min="6" max="6" width="21.5703125" style="1" customWidth="1"/>
    <col min="7" max="7" width="20.28515625" style="1" customWidth="1"/>
    <col min="8" max="16384" width="9.140625" style="1"/>
  </cols>
  <sheetData>
    <row r="1" spans="1:33" ht="48.75" customHeight="1" x14ac:dyDescent="0.2">
      <c r="A1" s="228" t="s">
        <v>38</v>
      </c>
      <c r="B1" s="228"/>
      <c r="C1" s="228"/>
      <c r="D1" s="228"/>
      <c r="E1" s="228"/>
      <c r="F1" s="228"/>
      <c r="G1" s="228"/>
    </row>
    <row r="2" spans="1:33" ht="12.75" customHeight="1" x14ac:dyDescent="0.2">
      <c r="A2" s="240"/>
      <c r="B2" s="227" t="s">
        <v>19</v>
      </c>
      <c r="C2" s="227" t="s">
        <v>40</v>
      </c>
      <c r="D2" s="227" t="s">
        <v>39</v>
      </c>
      <c r="E2" s="227" t="s">
        <v>38</v>
      </c>
      <c r="F2" s="227" t="s">
        <v>59</v>
      </c>
      <c r="G2" s="227" t="s">
        <v>61</v>
      </c>
    </row>
    <row r="3" spans="1:33" ht="12.75" customHeight="1" x14ac:dyDescent="0.2">
      <c r="A3" s="240"/>
      <c r="B3" s="227" t="s">
        <v>0</v>
      </c>
      <c r="C3" s="227"/>
      <c r="D3" s="227"/>
      <c r="E3" s="227"/>
      <c r="F3" s="227"/>
      <c r="G3" s="227"/>
    </row>
    <row r="4" spans="1:33" ht="15.75" customHeight="1" x14ac:dyDescent="0.2">
      <c r="A4" s="240"/>
      <c r="B4" s="227" t="s">
        <v>1</v>
      </c>
      <c r="C4" s="227"/>
      <c r="D4" s="227"/>
      <c r="E4" s="227"/>
      <c r="F4" s="227"/>
      <c r="G4" s="227"/>
    </row>
    <row r="5" spans="1:33" ht="16.5" customHeight="1" x14ac:dyDescent="0.2">
      <c r="A5" s="240"/>
      <c r="B5" s="227"/>
      <c r="C5" s="227"/>
      <c r="D5" s="227"/>
      <c r="E5" s="227"/>
      <c r="F5" s="227"/>
      <c r="G5" s="227"/>
    </row>
    <row r="6" spans="1:33" ht="35.25" customHeight="1" x14ac:dyDescent="0.2">
      <c r="A6" s="240"/>
      <c r="B6" s="227"/>
      <c r="C6" s="227"/>
      <c r="D6" s="227"/>
      <c r="E6" s="227"/>
      <c r="F6" s="227"/>
      <c r="G6" s="227"/>
    </row>
    <row r="7" spans="1:33" ht="39" customHeight="1" x14ac:dyDescent="0.2">
      <c r="A7" s="47"/>
      <c r="B7" s="47">
        <v>1</v>
      </c>
      <c r="C7" s="15">
        <v>2</v>
      </c>
      <c r="D7" s="15">
        <v>3</v>
      </c>
      <c r="E7" s="15" t="s">
        <v>43</v>
      </c>
      <c r="F7" s="15" t="s">
        <v>66</v>
      </c>
      <c r="G7" s="15" t="s">
        <v>62</v>
      </c>
      <c r="H7" s="7"/>
    </row>
    <row r="8" spans="1:33" s="2" customFormat="1" ht="21.75" customHeight="1" x14ac:dyDescent="0.2">
      <c r="A8" s="72">
        <v>1</v>
      </c>
      <c r="B8" s="14" t="s">
        <v>14</v>
      </c>
      <c r="C8" s="204">
        <v>11937.440769999999</v>
      </c>
      <c r="D8" s="204">
        <v>113192</v>
      </c>
      <c r="E8" s="150">
        <f>C8/D8*100</f>
        <v>10.546187689942752</v>
      </c>
      <c r="F8" s="159">
        <f t="shared" ref="F8:F20" si="0">(E8-0.058)/(15.444-0.058)</f>
        <v>0.68167084946982659</v>
      </c>
      <c r="G8" s="162">
        <f>F8*0.05</f>
        <v>3.4083542473491331E-2</v>
      </c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" customFormat="1" ht="21.75" customHeight="1" x14ac:dyDescent="0.2">
      <c r="A9" s="72">
        <v>2</v>
      </c>
      <c r="B9" s="74" t="s">
        <v>3</v>
      </c>
      <c r="C9" s="204">
        <v>3.1820400000000002</v>
      </c>
      <c r="D9" s="204">
        <v>3356.7</v>
      </c>
      <c r="E9" s="150">
        <f t="shared" ref="E9:E19" si="1">C9/D9*100</f>
        <v>9.4796675306104222E-2</v>
      </c>
      <c r="F9" s="159">
        <f t="shared" si="0"/>
        <v>2.3915686537179393E-3</v>
      </c>
      <c r="G9" s="162">
        <f t="shared" ref="G9:G19" si="2">F9*0.05</f>
        <v>1.1957843268589697E-4</v>
      </c>
    </row>
    <row r="10" spans="1:33" s="2" customFormat="1" ht="21.75" customHeight="1" x14ac:dyDescent="0.2">
      <c r="A10" s="72">
        <v>3</v>
      </c>
      <c r="B10" s="74" t="s">
        <v>4</v>
      </c>
      <c r="C10" s="204">
        <v>982.51035999999999</v>
      </c>
      <c r="D10" s="204">
        <v>6361.9</v>
      </c>
      <c r="E10" s="150">
        <f t="shared" si="1"/>
        <v>15.44366242789104</v>
      </c>
      <c r="F10" s="159">
        <f t="shared" si="0"/>
        <v>0.99997805978753662</v>
      </c>
      <c r="G10" s="162">
        <f t="shared" si="2"/>
        <v>4.9998902989376835E-2</v>
      </c>
      <c r="H10" s="2" t="s">
        <v>63</v>
      </c>
      <c r="I10" s="8"/>
      <c r="J10" s="8"/>
    </row>
    <row r="11" spans="1:33" s="2" customFormat="1" ht="21.75" customHeight="1" x14ac:dyDescent="0.2">
      <c r="A11" s="72">
        <v>4</v>
      </c>
      <c r="B11" s="74" t="s">
        <v>5</v>
      </c>
      <c r="C11" s="204">
        <v>0.52836000000000005</v>
      </c>
      <c r="D11" s="204">
        <v>904.39</v>
      </c>
      <c r="E11" s="150">
        <f t="shared" si="1"/>
        <v>5.8421698603478595E-2</v>
      </c>
      <c r="F11" s="159">
        <f t="shared" si="0"/>
        <v>2.7407942511282437E-5</v>
      </c>
      <c r="G11" s="162">
        <f t="shared" si="2"/>
        <v>1.3703971255641219E-6</v>
      </c>
      <c r="H11" s="2" t="s">
        <v>58</v>
      </c>
    </row>
    <row r="12" spans="1:33" s="2" customFormat="1" ht="21.75" customHeight="1" x14ac:dyDescent="0.2">
      <c r="A12" s="72">
        <v>5</v>
      </c>
      <c r="B12" s="74" t="s">
        <v>6</v>
      </c>
      <c r="C12" s="205">
        <v>3.1264799999999999</v>
      </c>
      <c r="D12" s="205">
        <v>3126.5</v>
      </c>
      <c r="E12" s="150">
        <f t="shared" si="1"/>
        <v>9.9999360307052601E-2</v>
      </c>
      <c r="F12" s="159">
        <f t="shared" si="0"/>
        <v>2.7297127458112956E-3</v>
      </c>
      <c r="G12" s="162">
        <f t="shared" si="2"/>
        <v>1.3648563729056479E-4</v>
      </c>
    </row>
    <row r="13" spans="1:33" s="2" customFormat="1" ht="21.75" customHeight="1" x14ac:dyDescent="0.2">
      <c r="A13" s="72">
        <v>6</v>
      </c>
      <c r="B13" s="74" t="s">
        <v>7</v>
      </c>
      <c r="C13" s="204">
        <v>123.75896</v>
      </c>
      <c r="D13" s="204">
        <v>5165.2</v>
      </c>
      <c r="E13" s="150">
        <f t="shared" si="1"/>
        <v>2.3960148687369318</v>
      </c>
      <c r="F13" s="159">
        <f t="shared" si="0"/>
        <v>0.15195729031177252</v>
      </c>
      <c r="G13" s="162">
        <f t="shared" si="2"/>
        <v>7.5978645155886267E-3</v>
      </c>
    </row>
    <row r="14" spans="1:33" s="2" customFormat="1" ht="21.75" customHeight="1" x14ac:dyDescent="0.2">
      <c r="A14" s="72">
        <v>7</v>
      </c>
      <c r="B14" s="74" t="s">
        <v>8</v>
      </c>
      <c r="C14" s="204">
        <v>155.57028</v>
      </c>
      <c r="D14" s="204">
        <v>6990.3</v>
      </c>
      <c r="E14" s="150">
        <f t="shared" si="1"/>
        <v>2.2255165014377067</v>
      </c>
      <c r="F14" s="159">
        <f t="shared" si="0"/>
        <v>0.14087589376301227</v>
      </c>
      <c r="G14" s="162">
        <f t="shared" si="2"/>
        <v>7.0437946881506137E-3</v>
      </c>
    </row>
    <row r="15" spans="1:33" s="2" customFormat="1" ht="21.75" customHeight="1" x14ac:dyDescent="0.2">
      <c r="A15" s="72">
        <v>8</v>
      </c>
      <c r="B15" s="74" t="s">
        <v>9</v>
      </c>
      <c r="C15" s="204">
        <v>29.789639999999999</v>
      </c>
      <c r="D15" s="204">
        <v>29789.599999999999</v>
      </c>
      <c r="E15" s="150">
        <f t="shared" si="1"/>
        <v>0.100000134275049</v>
      </c>
      <c r="F15" s="159">
        <f t="shared" si="0"/>
        <v>2.7297630492037566E-3</v>
      </c>
      <c r="G15" s="162">
        <f t="shared" si="2"/>
        <v>1.3648815246018782E-4</v>
      </c>
    </row>
    <row r="16" spans="1:33" s="2" customFormat="1" ht="21.75" customHeight="1" x14ac:dyDescent="0.2">
      <c r="A16" s="72">
        <v>9</v>
      </c>
      <c r="B16" s="74" t="s">
        <v>10</v>
      </c>
      <c r="C16" s="204">
        <v>25.545719999999999</v>
      </c>
      <c r="D16" s="204">
        <v>25545.7</v>
      </c>
      <c r="E16" s="150">
        <f t="shared" si="1"/>
        <v>0.10000007829106268</v>
      </c>
      <c r="F16" s="159">
        <f t="shared" si="0"/>
        <v>2.7297594105721223E-3</v>
      </c>
      <c r="G16" s="162">
        <f t="shared" si="2"/>
        <v>1.3648797052860613E-4</v>
      </c>
    </row>
    <row r="17" spans="1:7" s="2" customFormat="1" ht="21.75" customHeight="1" x14ac:dyDescent="0.2">
      <c r="A17" s="72">
        <v>10</v>
      </c>
      <c r="B17" s="74" t="s">
        <v>11</v>
      </c>
      <c r="C17" s="204">
        <v>1263.6261</v>
      </c>
      <c r="D17" s="204">
        <v>91032.6</v>
      </c>
      <c r="E17" s="150">
        <f t="shared" si="1"/>
        <v>1.3881028334904197</v>
      </c>
      <c r="F17" s="159">
        <f t="shared" si="0"/>
        <v>8.6448903775537475E-2</v>
      </c>
      <c r="G17" s="162">
        <f t="shared" si="2"/>
        <v>4.3224451887768738E-3</v>
      </c>
    </row>
    <row r="18" spans="1:7" s="2" customFormat="1" ht="21.75" customHeight="1" x14ac:dyDescent="0.2">
      <c r="A18" s="72">
        <v>11</v>
      </c>
      <c r="B18" s="74" t="s">
        <v>12</v>
      </c>
      <c r="C18" s="204">
        <v>528.25973999999997</v>
      </c>
      <c r="D18" s="204">
        <v>6305.1</v>
      </c>
      <c r="E18" s="150">
        <f t="shared" si="1"/>
        <v>8.3782928105819074</v>
      </c>
      <c r="F18" s="159">
        <f t="shared" si="0"/>
        <v>0.54077036335512196</v>
      </c>
      <c r="G18" s="162">
        <f t="shared" si="2"/>
        <v>2.7038518167756098E-2</v>
      </c>
    </row>
    <row r="19" spans="1:7" s="2" customFormat="1" ht="21.75" customHeight="1" thickBot="1" x14ac:dyDescent="0.25">
      <c r="A19" s="72">
        <v>12</v>
      </c>
      <c r="B19" s="76" t="s">
        <v>13</v>
      </c>
      <c r="C19" s="206">
        <v>4.1055599999999997</v>
      </c>
      <c r="D19" s="207">
        <v>4105.6000000000004</v>
      </c>
      <c r="E19" s="208">
        <f t="shared" si="1"/>
        <v>9.9999025720966472E-2</v>
      </c>
      <c r="F19" s="160">
        <f t="shared" si="0"/>
        <v>2.7296909996728496E-3</v>
      </c>
      <c r="G19" s="163">
        <f t="shared" si="2"/>
        <v>1.3648454998364248E-4</v>
      </c>
    </row>
    <row r="20" spans="1:7" s="2" customFormat="1" ht="30.75" customHeight="1" thickBot="1" x14ac:dyDescent="0.25">
      <c r="A20" s="82"/>
      <c r="B20" s="78" t="s">
        <v>2</v>
      </c>
      <c r="C20" s="108">
        <f>SUM(C8:C19)</f>
        <v>15057.444009999999</v>
      </c>
      <c r="D20" s="172">
        <f>SUM(D8:D18)</f>
        <v>291769.99</v>
      </c>
      <c r="E20" s="209">
        <f>C20/D20*100</f>
        <v>5.160724038137027</v>
      </c>
      <c r="F20" s="107">
        <f t="shared" si="0"/>
        <v>0.33164721422962606</v>
      </c>
      <c r="G20" s="210">
        <f>F20*0.05</f>
        <v>1.6582360711481305E-2</v>
      </c>
    </row>
    <row r="21" spans="1:7" ht="15.75" x14ac:dyDescent="0.25">
      <c r="A21" s="17"/>
      <c r="B21" s="17"/>
      <c r="C21" s="17"/>
      <c r="D21" s="6"/>
      <c r="E21" s="17"/>
      <c r="F21" s="7"/>
      <c r="G21" s="7"/>
    </row>
    <row r="22" spans="1:7" ht="18.75" x14ac:dyDescent="0.3">
      <c r="A22" s="230" t="s">
        <v>129</v>
      </c>
      <c r="B22" s="230"/>
      <c r="C22" s="230"/>
      <c r="D22" s="230"/>
      <c r="E22" s="230"/>
      <c r="F22" s="219" t="s">
        <v>124</v>
      </c>
      <c r="G22" s="219"/>
    </row>
    <row r="23" spans="1:7" ht="15.75" x14ac:dyDescent="0.25">
      <c r="A23" s="17"/>
      <c r="B23" s="17"/>
      <c r="C23" s="17"/>
      <c r="D23" s="6"/>
      <c r="E23" s="17"/>
    </row>
    <row r="24" spans="1:7" ht="15.75" x14ac:dyDescent="0.25">
      <c r="A24" s="17"/>
      <c r="B24" s="17"/>
      <c r="C24" s="17"/>
      <c r="D24" s="6"/>
      <c r="E24" s="17"/>
    </row>
    <row r="25" spans="1:7" ht="15.75" x14ac:dyDescent="0.25">
      <c r="A25" s="17"/>
      <c r="B25" s="5"/>
      <c r="C25" s="17"/>
      <c r="D25" s="6"/>
      <c r="E25" s="17"/>
    </row>
    <row r="26" spans="1:7" ht="18.75" x14ac:dyDescent="0.3">
      <c r="A26" s="4"/>
      <c r="B26" s="4"/>
      <c r="C26" s="4"/>
      <c r="D26" s="10"/>
      <c r="E26" s="4"/>
    </row>
    <row r="27" spans="1:7" ht="18.75" x14ac:dyDescent="0.3">
      <c r="A27" s="4"/>
      <c r="B27" s="4"/>
      <c r="C27" s="4"/>
      <c r="D27" s="10"/>
      <c r="E27" s="4"/>
    </row>
    <row r="28" spans="1:7" ht="18.75" x14ac:dyDescent="0.3">
      <c r="A28" s="4"/>
      <c r="B28" s="4"/>
      <c r="C28" s="4"/>
      <c r="D28" s="10"/>
      <c r="E28" s="4"/>
    </row>
    <row r="29" spans="1:7" ht="18.75" x14ac:dyDescent="0.3">
      <c r="A29" s="4"/>
      <c r="B29" s="4"/>
      <c r="C29" s="4"/>
      <c r="D29" s="10"/>
      <c r="E29" s="4"/>
    </row>
  </sheetData>
  <mergeCells count="10">
    <mergeCell ref="A1:G1"/>
    <mergeCell ref="F2:F6"/>
    <mergeCell ref="A22:E22"/>
    <mergeCell ref="A2:A6"/>
    <mergeCell ref="B2:B6"/>
    <mergeCell ref="C2:C6"/>
    <mergeCell ref="D2:D6"/>
    <mergeCell ref="E2:E6"/>
    <mergeCell ref="G2:G6"/>
    <mergeCell ref="F22:G22"/>
  </mergeCells>
  <dataValidations count="1">
    <dataValidation operator="notEqual" showErrorMessage="1" errorTitle="ОШИБКА" error="Должно быть целое положительное число!" sqref="C8"/>
  </dataValidations>
  <pageMargins left="1.1811023622047245" right="0.19685039370078741" top="0.31496062992125984" bottom="0.15748031496062992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36</vt:i4>
      </vt:variant>
    </vt:vector>
  </HeadingPairs>
  <TitlesOfParts>
    <vt:vector size="54" baseType="lpstr">
      <vt:lpstr>отнош. дефицита</vt:lpstr>
      <vt:lpstr>отношение мун. долга</vt:lpstr>
      <vt:lpstr>отнош. расх. на обслуж.</vt:lpstr>
      <vt:lpstr>доля расх. на сод. аппарата</vt:lpstr>
      <vt:lpstr>сниж. дотационности</vt:lpstr>
      <vt:lpstr>доля кр. зад.</vt:lpstr>
      <vt:lpstr>Динам. нал. дох.</vt:lpstr>
      <vt:lpstr>Динамика недоимки</vt:lpstr>
      <vt:lpstr>доходы от аренды</vt:lpstr>
      <vt:lpstr>факт. расх.</vt:lpstr>
      <vt:lpstr>программы</vt:lpstr>
      <vt:lpstr>МЗ</vt:lpstr>
      <vt:lpstr>расх. на аппарат</vt:lpstr>
      <vt:lpstr>сокращение муниципального долга</vt:lpstr>
      <vt:lpstr>исполнение по доходам</vt:lpstr>
      <vt:lpstr>Равномерность</vt:lpstr>
      <vt:lpstr>Прозрачность бюджета</vt:lpstr>
      <vt:lpstr>ИТОГИ</vt:lpstr>
      <vt:lpstr>'Динам. нал. дох.'!Заголовки_для_печати</vt:lpstr>
      <vt:lpstr>'Динамика недоимки'!Заголовки_для_печати</vt:lpstr>
      <vt:lpstr>'доля кр. зад.'!Заголовки_для_печати</vt:lpstr>
      <vt:lpstr>'доля расх. на сод. аппарата'!Заголовки_для_печати</vt:lpstr>
      <vt:lpstr>'доходы от аренды'!Заголовки_для_печати</vt:lpstr>
      <vt:lpstr>'исполнение по доходам'!Заголовки_для_печати</vt:lpstr>
      <vt:lpstr>ИТОГИ!Заголовки_для_печати</vt:lpstr>
      <vt:lpstr>МЗ!Заголовки_для_печати</vt:lpstr>
      <vt:lpstr>'отнош. дефицита'!Заголовки_для_печати</vt:lpstr>
      <vt:lpstr>'отнош. расх. на обслуж.'!Заголовки_для_печати</vt:lpstr>
      <vt:lpstr>'отношение мун. долга'!Заголовки_для_печати</vt:lpstr>
      <vt:lpstr>программы!Заголовки_для_печати</vt:lpstr>
      <vt:lpstr>'Прозрачность бюджета'!Заголовки_для_печати</vt:lpstr>
      <vt:lpstr>Равномерность!Заголовки_для_печати</vt:lpstr>
      <vt:lpstr>'расх. на аппарат'!Заголовки_для_печати</vt:lpstr>
      <vt:lpstr>'сниж. дотационности'!Заголовки_для_печати</vt:lpstr>
      <vt:lpstr>'сокращение муниципального долга'!Заголовки_для_печати</vt:lpstr>
      <vt:lpstr>'факт. расх.'!Заголовки_для_печати</vt:lpstr>
      <vt:lpstr>'Динам. нал. дох.'!Область_печати</vt:lpstr>
      <vt:lpstr>'Динамика недоимки'!Область_печати</vt:lpstr>
      <vt:lpstr>'доля кр. зад.'!Область_печати</vt:lpstr>
      <vt:lpstr>'доля расх. на сод. аппарата'!Область_печати</vt:lpstr>
      <vt:lpstr>'доходы от аренды'!Область_печати</vt:lpstr>
      <vt:lpstr>'исполнение по доходам'!Область_печати</vt:lpstr>
      <vt:lpstr>ИТОГИ!Область_печати</vt:lpstr>
      <vt:lpstr>МЗ!Область_печати</vt:lpstr>
      <vt:lpstr>'отнош. дефицита'!Область_печати</vt:lpstr>
      <vt:lpstr>'отнош. расх. на обслуж.'!Область_печати</vt:lpstr>
      <vt:lpstr>'отношение мун. долга'!Область_печати</vt:lpstr>
      <vt:lpstr>программы!Область_печати</vt:lpstr>
      <vt:lpstr>'Прозрачность бюджета'!Область_печати</vt:lpstr>
      <vt:lpstr>Равномерность!Область_печати</vt:lpstr>
      <vt:lpstr>'расх. на аппарат'!Область_печати</vt:lpstr>
      <vt:lpstr>'сниж. дотационности'!Область_печати</vt:lpstr>
      <vt:lpstr>'сокращение муниципального долга'!Область_печати</vt:lpstr>
      <vt:lpstr>'факт. расх.'!Область_печати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Воякин Георгий Валерьевич</dc:creator>
  <cp:lastModifiedBy>Lebedeva</cp:lastModifiedBy>
  <cp:lastPrinted>2023-11-14T07:09:26Z</cp:lastPrinted>
  <dcterms:created xsi:type="dcterms:W3CDTF">2005-05-03T12:47:21Z</dcterms:created>
  <dcterms:modified xsi:type="dcterms:W3CDTF">2023-11-14T08:29:33Z</dcterms:modified>
</cp:coreProperties>
</file>