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42\общая\Для обмена\ФИНАНСОВЫЙ МЕНЕДЖМЕНТ\"/>
    </mc:Choice>
  </mc:AlternateContent>
  <bookViews>
    <workbookView xWindow="120" yWindow="360" windowWidth="24915" windowHeight="11835" tabRatio="776" firstSheet="11" activeTab="17"/>
  </bookViews>
  <sheets>
    <sheet name="1.1 Кач. планирования расходов" sheetId="16" r:id="rId1"/>
    <sheet name="1.2. Качество исполнения КП" sheetId="17" r:id="rId2"/>
    <sheet name="1.3. Доля неиспользованых БА" sheetId="6" r:id="rId3"/>
    <sheet name="1.4 Своевременность принятия БО" sheetId="5" r:id="rId4"/>
    <sheet name="1.5 Несоотв. расч-плат док" sheetId="2" r:id="rId5"/>
    <sheet name="1.6 Доля отклоненных ПГЗ" sheetId="1" r:id="rId6"/>
    <sheet name="1.7. Эффективность исп. МТ " sheetId="7" r:id="rId7"/>
    <sheet name="1.8. Эффект.управл. КЗ" sheetId="10" r:id="rId8"/>
    <sheet name="1.9. Налчие просроч.КЗ" sheetId="11" r:id="rId9"/>
    <sheet name="1.10 Приостановление операций" sheetId="3" r:id="rId10"/>
    <sheet name="2.1. Кач-во пл.пост.налог+ненал" sheetId="9" r:id="rId11"/>
    <sheet name="2.2. Качество администр. ост." sheetId="8" r:id="rId12"/>
    <sheet name="2.3 Кач-во управ. просроч.ДЗ" sheetId="12" r:id="rId13"/>
    <sheet name="3.1 Степень достовер.отчет" sheetId="14" r:id="rId14"/>
    <sheet name="3.2 Нарушение треб. к бюдж.уч." sheetId="15" r:id="rId15"/>
    <sheet name="4 Наличие на сайте ГМУ" sheetId="4" r:id="rId16"/>
    <sheet name="5 Управление активами" sheetId="21" r:id="rId17"/>
    <sheet name="ИТОГИ" sheetId="19" r:id="rId18"/>
  </sheets>
  <definedNames>
    <definedName name="_xlnm._FilterDatabase" localSheetId="10" hidden="1">'2.1. Кач-во пл.пост.налог+ненал'!$A$4:$O$17</definedName>
    <definedName name="_xlnm.Print_Titles" localSheetId="1">'1.2. Качество исполнения КП'!$A:$D</definedName>
    <definedName name="_xlnm.Print_Area" localSheetId="0">'1.1 Кач. планирования расходов'!$A$1:$I$24</definedName>
    <definedName name="_xlnm.Print_Area" localSheetId="9">'1.10 Приостановление операций'!$A$1:$I$28</definedName>
    <definedName name="_xlnm.Print_Area" localSheetId="1">'1.2. Качество исполнения КП'!$A$1:$AQ$24</definedName>
    <definedName name="_xlnm.Print_Area" localSheetId="2">'1.3. Доля неиспользованых БА'!$A$1:$I$24</definedName>
    <definedName name="_xlnm.Print_Area" localSheetId="10">'2.1. Кач-во пл.пост.налог+ненал'!$A$1:$I$19</definedName>
    <definedName name="_xlnm.Print_Area" localSheetId="15">'4 Наличие на сайте ГМУ'!$A$1:$I$22</definedName>
    <definedName name="_xlnm.Print_Area" localSheetId="17">ИТОГИ!$A$1:$W$24</definedName>
  </definedNames>
  <calcPr calcId="152511"/>
</workbook>
</file>

<file path=xl/calcChain.xml><?xml version="1.0" encoding="utf-8"?>
<calcChain xmlns="http://schemas.openxmlformats.org/spreadsheetml/2006/main">
  <c r="AQ6" i="19" l="1"/>
  <c r="AQ5" i="19"/>
  <c r="AO5" i="19"/>
  <c r="AP5" i="19" l="1"/>
  <c r="G10" i="7"/>
  <c r="AP7" i="17" l="1"/>
  <c r="AK16" i="17"/>
  <c r="AN18" i="17"/>
  <c r="AK7" i="17"/>
  <c r="AK9" i="17"/>
  <c r="AK12" i="17"/>
  <c r="AK17" i="17"/>
  <c r="AH9" i="17"/>
  <c r="AH12" i="17"/>
  <c r="AH13" i="17"/>
  <c r="AH15" i="17"/>
  <c r="AH17" i="17"/>
  <c r="AH18" i="17"/>
  <c r="AE8" i="17"/>
  <c r="AE9" i="17"/>
  <c r="AE11" i="17"/>
  <c r="AE12" i="17"/>
  <c r="AE15" i="17"/>
  <c r="AE16" i="17"/>
  <c r="AE17" i="17"/>
  <c r="AE18" i="17"/>
  <c r="AB8" i="17"/>
  <c r="AB14" i="17"/>
  <c r="AB15" i="17"/>
  <c r="Y10" i="17"/>
  <c r="Y11" i="17"/>
  <c r="Y12" i="17"/>
  <c r="Y14" i="17"/>
  <c r="Y15" i="17"/>
  <c r="Y16" i="17"/>
  <c r="Y18" i="17"/>
  <c r="V12" i="17"/>
  <c r="S8" i="17"/>
  <c r="S9" i="17"/>
  <c r="S12" i="17"/>
  <c r="S14" i="17"/>
  <c r="S15" i="17"/>
  <c r="S17" i="17"/>
  <c r="S18" i="17"/>
  <c r="P8" i="17"/>
  <c r="P10" i="17"/>
  <c r="P15" i="17"/>
  <c r="P16" i="17"/>
  <c r="P17" i="17"/>
  <c r="M9" i="17"/>
  <c r="M12" i="17"/>
  <c r="M13" i="17"/>
  <c r="M14" i="17"/>
  <c r="M15" i="17"/>
  <c r="M18" i="17"/>
  <c r="J8" i="17"/>
  <c r="J9" i="17"/>
  <c r="J11" i="17"/>
  <c r="J12" i="17"/>
  <c r="J13" i="17"/>
  <c r="J15" i="17"/>
  <c r="J16" i="17"/>
  <c r="G8" i="17"/>
  <c r="G9" i="17"/>
  <c r="G10" i="17"/>
  <c r="G11" i="17"/>
  <c r="G12" i="17"/>
  <c r="G13" i="17"/>
  <c r="G14" i="17"/>
  <c r="G15" i="17"/>
  <c r="G16" i="17"/>
  <c r="G17" i="17"/>
  <c r="G18" i="17"/>
  <c r="G20" i="1" l="1"/>
  <c r="F20" i="3"/>
  <c r="G20" i="4"/>
  <c r="I18" i="1"/>
  <c r="G20" i="2"/>
  <c r="H6" i="2"/>
  <c r="G8" i="2"/>
  <c r="G9" i="2"/>
  <c r="G10" i="2"/>
  <c r="G11" i="2"/>
  <c r="G12" i="2"/>
  <c r="G13" i="2"/>
  <c r="G14" i="2"/>
  <c r="G15" i="2"/>
  <c r="G16" i="2"/>
  <c r="G17" i="2"/>
  <c r="G7" i="2"/>
  <c r="G18" i="5"/>
  <c r="G7" i="5"/>
  <c r="G8" i="5"/>
  <c r="G9" i="5"/>
  <c r="G10" i="5"/>
  <c r="G11" i="5"/>
  <c r="G12" i="5"/>
  <c r="G13" i="5"/>
  <c r="G14" i="5"/>
  <c r="G15" i="5"/>
  <c r="G16" i="5"/>
  <c r="G17" i="5"/>
  <c r="G6" i="5"/>
  <c r="G16" i="12" l="1"/>
  <c r="G11" i="12"/>
  <c r="K12" i="10" l="1"/>
  <c r="Z7" i="19" l="1"/>
  <c r="Z8" i="19"/>
  <c r="Z9" i="19"/>
  <c r="Z10" i="19"/>
  <c r="Z14" i="19"/>
  <c r="Z15" i="19"/>
  <c r="Z16" i="19"/>
  <c r="Z5" i="19"/>
  <c r="I16" i="14"/>
  <c r="H17" i="2" l="1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G6" i="2"/>
  <c r="I6" i="2" s="1"/>
  <c r="G17" i="1"/>
  <c r="H17" i="1" s="1"/>
  <c r="I17" i="1" s="1"/>
  <c r="G16" i="1"/>
  <c r="H16" i="1" s="1"/>
  <c r="I16" i="1" s="1"/>
  <c r="H15" i="1"/>
  <c r="I15" i="1" s="1"/>
  <c r="G15" i="1"/>
  <c r="G14" i="1"/>
  <c r="H14" i="1" s="1"/>
  <c r="I14" i="1" s="1"/>
  <c r="G13" i="1"/>
  <c r="H13" i="1" s="1"/>
  <c r="I13" i="1" s="1"/>
  <c r="G12" i="1"/>
  <c r="H12" i="1" s="1"/>
  <c r="I12" i="1" s="1"/>
  <c r="G11" i="1"/>
  <c r="H11" i="1" s="1"/>
  <c r="I11" i="1" s="1"/>
  <c r="G10" i="1"/>
  <c r="H10" i="1" s="1"/>
  <c r="I10" i="1" s="1"/>
  <c r="G9" i="1"/>
  <c r="H9" i="1" s="1"/>
  <c r="I9" i="1" s="1"/>
  <c r="G8" i="1"/>
  <c r="H8" i="1" s="1"/>
  <c r="I8" i="1" s="1"/>
  <c r="G7" i="1"/>
  <c r="H7" i="1" s="1"/>
  <c r="I7" i="1" s="1"/>
  <c r="G6" i="1"/>
  <c r="H6" i="1" s="1"/>
  <c r="I6" i="1" s="1"/>
  <c r="I17" i="5"/>
  <c r="I16" i="5"/>
  <c r="I15" i="5"/>
  <c r="I14" i="5"/>
  <c r="I13" i="5"/>
  <c r="I12" i="5"/>
  <c r="I11" i="5"/>
  <c r="I10" i="5"/>
  <c r="I9" i="5"/>
  <c r="I8" i="5"/>
  <c r="I7" i="5"/>
  <c r="I6" i="5"/>
  <c r="I9" i="6"/>
  <c r="I10" i="6"/>
  <c r="I11" i="6"/>
  <c r="I12" i="6"/>
  <c r="I13" i="6"/>
  <c r="I16" i="6"/>
  <c r="I17" i="6"/>
  <c r="I18" i="6"/>
  <c r="I7" i="6"/>
  <c r="I5" i="7" l="1"/>
  <c r="H17" i="7"/>
  <c r="H18" i="7" s="1"/>
  <c r="G6" i="7"/>
  <c r="H17" i="9" l="1"/>
  <c r="F17" i="9"/>
  <c r="G17" i="9" s="1"/>
  <c r="E17" i="9"/>
  <c r="I16" i="9"/>
  <c r="G16" i="9"/>
  <c r="I15" i="9"/>
  <c r="G15" i="9"/>
  <c r="I14" i="9"/>
  <c r="G14" i="9"/>
  <c r="I13" i="9"/>
  <c r="G13" i="9"/>
  <c r="I12" i="9"/>
  <c r="G12" i="9"/>
  <c r="I11" i="9"/>
  <c r="G11" i="9"/>
  <c r="I10" i="9"/>
  <c r="G10" i="9"/>
  <c r="I9" i="9"/>
  <c r="G9" i="9"/>
  <c r="I8" i="9"/>
  <c r="G8" i="9"/>
  <c r="I7" i="9"/>
  <c r="G7" i="9"/>
  <c r="I6" i="9"/>
  <c r="G6" i="9"/>
  <c r="I5" i="9"/>
  <c r="G5" i="9"/>
  <c r="I17" i="9" l="1"/>
  <c r="I19" i="17"/>
  <c r="AB12" i="17" l="1"/>
  <c r="V7" i="17"/>
  <c r="S7" i="17"/>
  <c r="M7" i="17"/>
  <c r="J17" i="10" l="1"/>
  <c r="K17" i="10" s="1"/>
  <c r="G17" i="10"/>
  <c r="J16" i="10"/>
  <c r="K16" i="10" s="1"/>
  <c r="G16" i="10"/>
  <c r="J15" i="10"/>
  <c r="K15" i="10" s="1"/>
  <c r="G15" i="10"/>
  <c r="J14" i="10"/>
  <c r="K14" i="10" s="1"/>
  <c r="G14" i="10"/>
  <c r="J13" i="10"/>
  <c r="K13" i="10" s="1"/>
  <c r="G13" i="10"/>
  <c r="J12" i="10"/>
  <c r="G12" i="10"/>
  <c r="J11" i="10"/>
  <c r="K11" i="10" s="1"/>
  <c r="G11" i="10"/>
  <c r="J10" i="10"/>
  <c r="K10" i="10" s="1"/>
  <c r="G10" i="10"/>
  <c r="J9" i="10"/>
  <c r="K9" i="10" s="1"/>
  <c r="G9" i="10"/>
  <c r="J8" i="10"/>
  <c r="K8" i="10" s="1"/>
  <c r="G8" i="10"/>
  <c r="J7" i="10"/>
  <c r="G7" i="10"/>
  <c r="J6" i="10"/>
  <c r="K6" i="10" s="1"/>
  <c r="G6" i="10"/>
  <c r="I18" i="8"/>
  <c r="G18" i="8"/>
  <c r="I17" i="8"/>
  <c r="G17" i="8"/>
  <c r="I16" i="8"/>
  <c r="G16" i="8"/>
  <c r="I15" i="8"/>
  <c r="G15" i="8"/>
  <c r="I14" i="8"/>
  <c r="G14" i="8"/>
  <c r="I13" i="8"/>
  <c r="G13" i="8"/>
  <c r="I12" i="8"/>
  <c r="G12" i="8"/>
  <c r="I11" i="8"/>
  <c r="G11" i="8"/>
  <c r="I10" i="8"/>
  <c r="G10" i="8"/>
  <c r="I9" i="8"/>
  <c r="G9" i="8"/>
  <c r="I8" i="8"/>
  <c r="G8" i="8"/>
  <c r="I7" i="8"/>
  <c r="G7" i="8"/>
  <c r="K7" i="10" l="1"/>
  <c r="L7" i="10" s="1"/>
  <c r="G7" i="6"/>
  <c r="L7" i="6" s="1"/>
  <c r="G12" i="16" l="1"/>
  <c r="G8" i="6"/>
  <c r="I8" i="6" s="1"/>
  <c r="G9" i="6"/>
  <c r="G10" i="6"/>
  <c r="G11" i="6"/>
  <c r="G12" i="6"/>
  <c r="G13" i="6"/>
  <c r="G14" i="6"/>
  <c r="I14" i="6" s="1"/>
  <c r="G15" i="6"/>
  <c r="H15" i="6" s="1"/>
  <c r="I15" i="6" s="1"/>
  <c r="G16" i="6"/>
  <c r="G17" i="6"/>
  <c r="G18" i="6"/>
  <c r="I19" i="6" l="1"/>
  <c r="H12" i="16"/>
  <c r="G8" i="12" l="1"/>
  <c r="F19" i="12" l="1"/>
  <c r="G18" i="12"/>
  <c r="I18" i="12" s="1"/>
  <c r="I17" i="12"/>
  <c r="G17" i="12"/>
  <c r="I16" i="12"/>
  <c r="I15" i="12"/>
  <c r="G15" i="12"/>
  <c r="I14" i="12"/>
  <c r="I13" i="12"/>
  <c r="G13" i="12"/>
  <c r="I12" i="12"/>
  <c r="I11" i="12"/>
  <c r="I10" i="12"/>
  <c r="I9" i="12"/>
  <c r="I8" i="12"/>
  <c r="I18" i="14"/>
  <c r="G18" i="14"/>
  <c r="I19" i="12" l="1"/>
  <c r="H19" i="12"/>
  <c r="G19" i="12"/>
  <c r="G16" i="4"/>
  <c r="H16" i="4" s="1"/>
  <c r="G15" i="4"/>
  <c r="H15" i="4" s="1"/>
  <c r="G14" i="4"/>
  <c r="H14" i="4" s="1"/>
  <c r="G13" i="4"/>
  <c r="H13" i="4" s="1"/>
  <c r="I13" i="4" s="1"/>
  <c r="G12" i="4"/>
  <c r="H12" i="4" s="1"/>
  <c r="G7" i="4"/>
  <c r="H7" i="4" s="1"/>
  <c r="I18" i="5"/>
  <c r="U7" i="19" l="1"/>
  <c r="U8" i="19"/>
  <c r="U9" i="19"/>
  <c r="U10" i="19"/>
  <c r="U11" i="19"/>
  <c r="U12" i="19"/>
  <c r="U13" i="19"/>
  <c r="U14" i="19"/>
  <c r="U15" i="19"/>
  <c r="U16" i="19"/>
  <c r="U5" i="19"/>
  <c r="H19" i="8" l="1"/>
  <c r="H20" i="8" s="1"/>
  <c r="I19" i="8"/>
  <c r="I20" i="8" s="1"/>
  <c r="F17" i="7"/>
  <c r="F19" i="16" l="1"/>
  <c r="E18" i="21" l="1"/>
  <c r="F18" i="21" s="1"/>
  <c r="F17" i="2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F11" i="21"/>
  <c r="G11" i="21" s="1"/>
  <c r="F10" i="21"/>
  <c r="G10" i="21" s="1"/>
  <c r="F9" i="21"/>
  <c r="G9" i="21" s="1"/>
  <c r="F8" i="21"/>
  <c r="G8" i="21" s="1"/>
  <c r="F7" i="21"/>
  <c r="G7" i="21" s="1"/>
  <c r="H7" i="21" s="1"/>
  <c r="U6" i="19" s="1"/>
  <c r="U17" i="19" s="1"/>
  <c r="U18" i="19" s="1"/>
  <c r="F6" i="21"/>
  <c r="G6" i="21" s="1"/>
  <c r="AN6" i="19" l="1"/>
  <c r="AV6" i="19" s="1"/>
  <c r="AN7" i="19"/>
  <c r="AV7" i="19" s="1"/>
  <c r="AN8" i="19"/>
  <c r="AV8" i="19" s="1"/>
  <c r="AN9" i="19"/>
  <c r="AV9" i="19" s="1"/>
  <c r="AN10" i="19"/>
  <c r="AV10" i="19" s="1"/>
  <c r="AN11" i="19"/>
  <c r="AV11" i="19" s="1"/>
  <c r="AN12" i="19"/>
  <c r="AV12" i="19" s="1"/>
  <c r="AN13" i="19"/>
  <c r="AV13" i="19" s="1"/>
  <c r="AN14" i="19"/>
  <c r="AV14" i="19" s="1"/>
  <c r="AN15" i="19"/>
  <c r="AV15" i="19" s="1"/>
  <c r="AN16" i="19"/>
  <c r="AV16" i="19" s="1"/>
  <c r="AN5" i="19"/>
  <c r="AV5" i="19" s="1"/>
  <c r="AT8" i="17" l="1"/>
  <c r="AT9" i="17"/>
  <c r="AT10" i="17"/>
  <c r="AT11" i="17"/>
  <c r="AT12" i="17"/>
  <c r="AT13" i="17"/>
  <c r="AT14" i="17"/>
  <c r="AT15" i="17"/>
  <c r="AT16" i="17"/>
  <c r="AT17" i="17"/>
  <c r="AT18" i="17"/>
  <c r="AT7" i="17"/>
  <c r="AS9" i="17"/>
  <c r="AS10" i="17"/>
  <c r="AS11" i="17"/>
  <c r="AS12" i="17"/>
  <c r="AS13" i="17"/>
  <c r="AS14" i="17"/>
  <c r="AS15" i="17"/>
  <c r="AS16" i="17"/>
  <c r="AS17" i="17"/>
  <c r="AS18" i="17"/>
  <c r="AS8" i="17"/>
  <c r="AS7" i="17"/>
  <c r="J7" i="17"/>
  <c r="G7" i="17"/>
  <c r="AO12" i="17"/>
  <c r="AP12" i="17" s="1"/>
  <c r="Y7" i="17"/>
  <c r="AO14" i="17"/>
  <c r="AP14" i="17" s="1"/>
  <c r="AO15" i="17"/>
  <c r="AP15" i="17" s="1"/>
  <c r="AO8" i="17"/>
  <c r="AP8" i="17" s="1"/>
  <c r="AO7" i="17" l="1"/>
  <c r="AO9" i="17"/>
  <c r="AP9" i="17" s="1"/>
  <c r="AQ9" i="17" s="1"/>
  <c r="F7" i="19" s="1"/>
  <c r="Y7" i="19" s="1"/>
  <c r="AO17" i="17"/>
  <c r="AP17" i="17" s="1"/>
  <c r="AQ17" i="17" s="1"/>
  <c r="F15" i="19" s="1"/>
  <c r="Y15" i="19" s="1"/>
  <c r="AO13" i="17"/>
  <c r="AQ13" i="17" s="1"/>
  <c r="F11" i="19" s="1"/>
  <c r="Y11" i="19" s="1"/>
  <c r="AO11" i="17"/>
  <c r="AP11" i="17" s="1"/>
  <c r="AQ11" i="17" s="1"/>
  <c r="F9" i="19" s="1"/>
  <c r="Y9" i="19" s="1"/>
  <c r="AO18" i="17"/>
  <c r="AP18" i="17" s="1"/>
  <c r="AQ18" i="17" s="1"/>
  <c r="F16" i="19" s="1"/>
  <c r="Y16" i="19" s="1"/>
  <c r="AO16" i="17"/>
  <c r="AP16" i="17" s="1"/>
  <c r="AQ16" i="17" s="1"/>
  <c r="F14" i="19" s="1"/>
  <c r="Y14" i="19" s="1"/>
  <c r="AO10" i="17"/>
  <c r="AP10" i="17" s="1"/>
  <c r="AQ10" i="17" s="1"/>
  <c r="F8" i="19" s="1"/>
  <c r="AQ7" i="17"/>
  <c r="F19" i="17"/>
  <c r="H19" i="17"/>
  <c r="K19" i="17"/>
  <c r="L19" i="17"/>
  <c r="N19" i="17"/>
  <c r="O19" i="17"/>
  <c r="Q19" i="17"/>
  <c r="R19" i="17"/>
  <c r="T19" i="17"/>
  <c r="U19" i="17"/>
  <c r="W19" i="17"/>
  <c r="X19" i="17"/>
  <c r="Z19" i="17"/>
  <c r="AA19" i="17"/>
  <c r="AC19" i="17"/>
  <c r="AD19" i="17"/>
  <c r="AF19" i="17"/>
  <c r="AG19" i="17"/>
  <c r="AI19" i="17"/>
  <c r="AJ19" i="17"/>
  <c r="AL19" i="17"/>
  <c r="AM19" i="17"/>
  <c r="G18" i="11"/>
  <c r="T7" i="19"/>
  <c r="AM7" i="19" s="1"/>
  <c r="AU7" i="19" s="1"/>
  <c r="T8" i="19"/>
  <c r="AM8" i="19" s="1"/>
  <c r="AU8" i="19" s="1"/>
  <c r="T9" i="19"/>
  <c r="AM9" i="19" s="1"/>
  <c r="AU9" i="19" s="1"/>
  <c r="T10" i="19"/>
  <c r="AM10" i="19" s="1"/>
  <c r="AU10" i="19" s="1"/>
  <c r="T16" i="19"/>
  <c r="AM16" i="19" s="1"/>
  <c r="AU16" i="19" s="1"/>
  <c r="T5" i="19"/>
  <c r="S7" i="19"/>
  <c r="AL7" i="19" s="1"/>
  <c r="S8" i="19"/>
  <c r="AL8" i="19" s="1"/>
  <c r="S9" i="19"/>
  <c r="AL9" i="19" s="1"/>
  <c r="S10" i="19"/>
  <c r="AL10" i="19" s="1"/>
  <c r="S11" i="19"/>
  <c r="AL11" i="19" s="1"/>
  <c r="S12" i="19"/>
  <c r="AL12" i="19" s="1"/>
  <c r="S13" i="19"/>
  <c r="AL13" i="19" s="1"/>
  <c r="S14" i="19"/>
  <c r="AL14" i="19" s="1"/>
  <c r="S15" i="19"/>
  <c r="AL15" i="19" s="1"/>
  <c r="S16" i="19"/>
  <c r="AL16" i="19" s="1"/>
  <c r="S5" i="19"/>
  <c r="R6" i="19"/>
  <c r="AK6" i="19" s="1"/>
  <c r="R7" i="19"/>
  <c r="AK7" i="19" s="1"/>
  <c r="R8" i="19"/>
  <c r="AK8" i="19" s="1"/>
  <c r="R9" i="19"/>
  <c r="AK9" i="19" s="1"/>
  <c r="AS9" i="19" s="1"/>
  <c r="AT9" i="19" s="1"/>
  <c r="R10" i="19"/>
  <c r="AK10" i="19" s="1"/>
  <c r="AS10" i="19" s="1"/>
  <c r="AT10" i="19" s="1"/>
  <c r="R11" i="19"/>
  <c r="AK11" i="19" s="1"/>
  <c r="AS11" i="19" s="1"/>
  <c r="AT11" i="19" s="1"/>
  <c r="R12" i="19"/>
  <c r="AK12" i="19" s="1"/>
  <c r="AS12" i="19" s="1"/>
  <c r="AT12" i="19" s="1"/>
  <c r="R13" i="19"/>
  <c r="AK13" i="19" s="1"/>
  <c r="R14" i="19"/>
  <c r="AK14" i="19" s="1"/>
  <c r="R15" i="19"/>
  <c r="AK15" i="19" s="1"/>
  <c r="AS15" i="19" s="1"/>
  <c r="AT15" i="19" s="1"/>
  <c r="R16" i="19"/>
  <c r="AK16" i="19" s="1"/>
  <c r="R5" i="19"/>
  <c r="Q5" i="19"/>
  <c r="M6" i="19"/>
  <c r="AF6" i="19" s="1"/>
  <c r="M7" i="19"/>
  <c r="AF7" i="19" s="1"/>
  <c r="M8" i="19"/>
  <c r="AF8" i="19" s="1"/>
  <c r="M9" i="19"/>
  <c r="AF9" i="19" s="1"/>
  <c r="M10" i="19"/>
  <c r="AF10" i="19" s="1"/>
  <c r="M11" i="19"/>
  <c r="AF11" i="19" s="1"/>
  <c r="M12" i="19"/>
  <c r="AF12" i="19" s="1"/>
  <c r="M13" i="19"/>
  <c r="AF13" i="19" s="1"/>
  <c r="M14" i="19"/>
  <c r="AF14" i="19" s="1"/>
  <c r="M15" i="19"/>
  <c r="AF15" i="19" s="1"/>
  <c r="M16" i="19"/>
  <c r="AF16" i="19" s="1"/>
  <c r="M5" i="19"/>
  <c r="L7" i="19"/>
  <c r="AE7" i="19" s="1"/>
  <c r="L8" i="19"/>
  <c r="AE8" i="19" s="1"/>
  <c r="L9" i="19"/>
  <c r="AE9" i="19" s="1"/>
  <c r="L10" i="19"/>
  <c r="AE10" i="19" s="1"/>
  <c r="L11" i="19"/>
  <c r="AE11" i="19" s="1"/>
  <c r="L12" i="19"/>
  <c r="AE12" i="19" s="1"/>
  <c r="L13" i="19"/>
  <c r="AE13" i="19" s="1"/>
  <c r="L14" i="19"/>
  <c r="AE14" i="19" s="1"/>
  <c r="L15" i="19"/>
  <c r="AE15" i="19" s="1"/>
  <c r="L16" i="19"/>
  <c r="AE16" i="19" s="1"/>
  <c r="L5" i="19"/>
  <c r="AQ15" i="17"/>
  <c r="F13" i="19" s="1"/>
  <c r="Y13" i="19" s="1"/>
  <c r="E19" i="17"/>
  <c r="AQ14" i="17"/>
  <c r="F12" i="19" s="1"/>
  <c r="Y12" i="19" s="1"/>
  <c r="AQ12" i="17"/>
  <c r="F10" i="19" s="1"/>
  <c r="Y10" i="19" s="1"/>
  <c r="AS16" i="19" l="1"/>
  <c r="AT16" i="19" s="1"/>
  <c r="AS8" i="19"/>
  <c r="AT8" i="19" s="1"/>
  <c r="AS7" i="19"/>
  <c r="AT7" i="19" s="1"/>
  <c r="AS14" i="19"/>
  <c r="AT14" i="19" s="1"/>
  <c r="Y8" i="19"/>
  <c r="AP19" i="17"/>
  <c r="AP20" i="17" s="1"/>
  <c r="AS13" i="19"/>
  <c r="AT13" i="19" s="1"/>
  <c r="AE5" i="19"/>
  <c r="AK5" i="19"/>
  <c r="R17" i="19"/>
  <c r="R18" i="19" s="1"/>
  <c r="AM5" i="19"/>
  <c r="AU5" i="19" s="1"/>
  <c r="AL5" i="19"/>
  <c r="AJ5" i="19"/>
  <c r="AF5" i="19"/>
  <c r="M17" i="19"/>
  <c r="M18" i="19" s="1"/>
  <c r="F5" i="19"/>
  <c r="Y5" i="19" s="1"/>
  <c r="AS19" i="17"/>
  <c r="AT19" i="17"/>
  <c r="AQ8" i="17"/>
  <c r="F6" i="19" s="1"/>
  <c r="Y6" i="19" s="1"/>
  <c r="G8" i="16"/>
  <c r="G9" i="16"/>
  <c r="G10" i="16"/>
  <c r="G11" i="16"/>
  <c r="I12" i="16"/>
  <c r="E10" i="19" s="1"/>
  <c r="X10" i="19" s="1"/>
  <c r="G13" i="16"/>
  <c r="G14" i="16"/>
  <c r="G15" i="16"/>
  <c r="G16" i="16"/>
  <c r="G17" i="16"/>
  <c r="G18" i="16"/>
  <c r="G7" i="16"/>
  <c r="H7" i="16" l="1"/>
  <c r="I7" i="16" s="1"/>
  <c r="AS5" i="19"/>
  <c r="AT5" i="19" s="1"/>
  <c r="H18" i="16"/>
  <c r="I18" i="16" s="1"/>
  <c r="E16" i="19" s="1"/>
  <c r="X16" i="19" s="1"/>
  <c r="H17" i="16"/>
  <c r="I17" i="16" s="1"/>
  <c r="E15" i="19" s="1"/>
  <c r="X15" i="19" s="1"/>
  <c r="H9" i="16"/>
  <c r="I9" i="16" s="1"/>
  <c r="E7" i="19" s="1"/>
  <c r="X7" i="19" s="1"/>
  <c r="H13" i="16"/>
  <c r="I13" i="16" s="1"/>
  <c r="E11" i="19" s="1"/>
  <c r="X11" i="19" s="1"/>
  <c r="H16" i="16"/>
  <c r="I16" i="16" s="1"/>
  <c r="E14" i="19" s="1"/>
  <c r="X14" i="19" s="1"/>
  <c r="H8" i="16"/>
  <c r="I8" i="16" s="1"/>
  <c r="E6" i="19" s="1"/>
  <c r="H14" i="16"/>
  <c r="I14" i="16" s="1"/>
  <c r="E12" i="19" s="1"/>
  <c r="X12" i="19" s="1"/>
  <c r="H15" i="16"/>
  <c r="I15" i="16" s="1"/>
  <c r="E13" i="19" s="1"/>
  <c r="X13" i="19" s="1"/>
  <c r="H11" i="16"/>
  <c r="I11" i="16" s="1"/>
  <c r="E9" i="19" s="1"/>
  <c r="X9" i="19" s="1"/>
  <c r="H10" i="16"/>
  <c r="I10" i="16" s="1"/>
  <c r="E8" i="19" s="1"/>
  <c r="AQ19" i="17"/>
  <c r="AQ20" i="17" s="1"/>
  <c r="G19" i="16"/>
  <c r="G20" i="16" s="1"/>
  <c r="F17" i="19"/>
  <c r="F18" i="19" s="1"/>
  <c r="E19" i="16"/>
  <c r="X8" i="19" l="1"/>
  <c r="X6" i="19"/>
  <c r="H19" i="16"/>
  <c r="H20" i="16" s="1"/>
  <c r="F7" i="15"/>
  <c r="H7" i="15" s="1"/>
  <c r="F8" i="15"/>
  <c r="F9" i="15"/>
  <c r="F10" i="15"/>
  <c r="F11" i="15"/>
  <c r="F12" i="15"/>
  <c r="F13" i="15"/>
  <c r="F18" i="15" s="1"/>
  <c r="F14" i="15"/>
  <c r="G14" i="15" s="1"/>
  <c r="F15" i="15"/>
  <c r="G15" i="15" s="1"/>
  <c r="F16" i="15"/>
  <c r="G16" i="15" s="1"/>
  <c r="F17" i="15"/>
  <c r="G17" i="15" s="1"/>
  <c r="F6" i="15"/>
  <c r="E18" i="15"/>
  <c r="H8" i="14"/>
  <c r="H10" i="14"/>
  <c r="H12" i="14"/>
  <c r="H6" i="14"/>
  <c r="F18" i="14"/>
  <c r="E18" i="14"/>
  <c r="H17" i="14"/>
  <c r="H15" i="14"/>
  <c r="H11" i="14"/>
  <c r="H9" i="14"/>
  <c r="F18" i="4"/>
  <c r="E18" i="4"/>
  <c r="H18" i="14" l="1"/>
  <c r="S6" i="19"/>
  <c r="H18" i="15"/>
  <c r="G18" i="15"/>
  <c r="E5" i="19"/>
  <c r="I19" i="16"/>
  <c r="I20" i="16" s="1"/>
  <c r="AL6" i="19"/>
  <c r="AS6" i="19" s="1"/>
  <c r="AT6" i="19" s="1"/>
  <c r="S17" i="19"/>
  <c r="S18" i="19" s="1"/>
  <c r="Q11" i="19"/>
  <c r="AJ11" i="19" s="1"/>
  <c r="E19" i="12"/>
  <c r="Q16" i="19"/>
  <c r="AJ16" i="19" s="1"/>
  <c r="Q15" i="19"/>
  <c r="AJ15" i="19" s="1"/>
  <c r="Q14" i="19"/>
  <c r="AJ14" i="19" s="1"/>
  <c r="Q13" i="19"/>
  <c r="AJ13" i="19" s="1"/>
  <c r="Q12" i="19"/>
  <c r="AJ12" i="19" s="1"/>
  <c r="Q10" i="19"/>
  <c r="AJ10" i="19" s="1"/>
  <c r="Q9" i="19"/>
  <c r="AJ9" i="19" s="1"/>
  <c r="Q8" i="19"/>
  <c r="AJ8" i="19" s="1"/>
  <c r="Q7" i="19"/>
  <c r="AJ7" i="19" s="1"/>
  <c r="F18" i="11"/>
  <c r="E18" i="11"/>
  <c r="L6" i="19"/>
  <c r="I18" i="10"/>
  <c r="H18" i="10"/>
  <c r="F18" i="10"/>
  <c r="E18" i="10"/>
  <c r="E17" i="19" l="1"/>
  <c r="E18" i="19" s="1"/>
  <c r="X5" i="19"/>
  <c r="AE6" i="19"/>
  <c r="L17" i="19"/>
  <c r="L18" i="19" s="1"/>
  <c r="Q6" i="19"/>
  <c r="J18" i="10"/>
  <c r="J20" i="10" s="1"/>
  <c r="G18" i="10"/>
  <c r="G20" i="10" s="1"/>
  <c r="O16" i="19"/>
  <c r="AH16" i="19" s="1"/>
  <c r="AJ6" i="19" l="1"/>
  <c r="Q17" i="19"/>
  <c r="Q18" i="19" s="1"/>
  <c r="O6" i="19"/>
  <c r="AH6" i="19" s="1"/>
  <c r="O15" i="19"/>
  <c r="AH15" i="19" s="1"/>
  <c r="O14" i="19"/>
  <c r="AH14" i="19" s="1"/>
  <c r="O13" i="19"/>
  <c r="AH13" i="19" s="1"/>
  <c r="O12" i="19"/>
  <c r="AH12" i="19" s="1"/>
  <c r="O11" i="19"/>
  <c r="AH11" i="19" s="1"/>
  <c r="O10" i="19"/>
  <c r="AH10" i="19" s="1"/>
  <c r="O9" i="19"/>
  <c r="AH9" i="19" s="1"/>
  <c r="O8" i="19"/>
  <c r="AH8" i="19" s="1"/>
  <c r="O7" i="19"/>
  <c r="AH7" i="19" s="1"/>
  <c r="O5" i="19" l="1"/>
  <c r="F19" i="8"/>
  <c r="E19" i="8"/>
  <c r="P16" i="19"/>
  <c r="AI16" i="19" s="1"/>
  <c r="AQ16" i="19" s="1"/>
  <c r="AR16" i="19" s="1"/>
  <c r="P15" i="19"/>
  <c r="AI15" i="19" s="1"/>
  <c r="AQ15" i="19" s="1"/>
  <c r="AR15" i="19" s="1"/>
  <c r="P14" i="19"/>
  <c r="AI14" i="19" s="1"/>
  <c r="AQ14" i="19" s="1"/>
  <c r="AR14" i="19" s="1"/>
  <c r="P13" i="19"/>
  <c r="AI13" i="19" s="1"/>
  <c r="AQ13" i="19" s="1"/>
  <c r="AR13" i="19" s="1"/>
  <c r="P12" i="19"/>
  <c r="AI12" i="19" s="1"/>
  <c r="AQ12" i="19" s="1"/>
  <c r="AR12" i="19" s="1"/>
  <c r="P11" i="19"/>
  <c r="AI11" i="19" s="1"/>
  <c r="AQ11" i="19" s="1"/>
  <c r="AR11" i="19" s="1"/>
  <c r="P10" i="19"/>
  <c r="AI10" i="19" s="1"/>
  <c r="AQ10" i="19" s="1"/>
  <c r="AR10" i="19" s="1"/>
  <c r="P9" i="19"/>
  <c r="AI9" i="19" s="1"/>
  <c r="AQ9" i="19" s="1"/>
  <c r="AR9" i="19" s="1"/>
  <c r="P8" i="19"/>
  <c r="AI8" i="19" s="1"/>
  <c r="AQ8" i="19" s="1"/>
  <c r="AR8" i="19" s="1"/>
  <c r="P7" i="19"/>
  <c r="AI7" i="19" s="1"/>
  <c r="AQ7" i="19" s="1"/>
  <c r="AR7" i="19" s="1"/>
  <c r="P6" i="19"/>
  <c r="AI6" i="19" s="1"/>
  <c r="AR6" i="19" s="1"/>
  <c r="G11" i="7"/>
  <c r="G12" i="7"/>
  <c r="G13" i="7"/>
  <c r="G14" i="7"/>
  <c r="G16" i="7"/>
  <c r="E17" i="7"/>
  <c r="I16" i="7"/>
  <c r="K16" i="19" s="1"/>
  <c r="AD16" i="19" s="1"/>
  <c r="I15" i="7"/>
  <c r="K15" i="19" s="1"/>
  <c r="AD15" i="19" s="1"/>
  <c r="I14" i="7"/>
  <c r="I13" i="7"/>
  <c r="K13" i="19" s="1"/>
  <c r="AD13" i="19" s="1"/>
  <c r="I12" i="7"/>
  <c r="K12" i="19" s="1"/>
  <c r="AD12" i="19" s="1"/>
  <c r="I11" i="7"/>
  <c r="K11" i="19" s="1"/>
  <c r="AD11" i="19" s="1"/>
  <c r="I10" i="7"/>
  <c r="K10" i="19" s="1"/>
  <c r="AD10" i="19" s="1"/>
  <c r="I9" i="7"/>
  <c r="K9" i="19" s="1"/>
  <c r="AD9" i="19" s="1"/>
  <c r="I8" i="7"/>
  <c r="K8" i="19" s="1"/>
  <c r="AD8" i="19" s="1"/>
  <c r="I7" i="7"/>
  <c r="K7" i="19" s="1"/>
  <c r="AD7" i="19" s="1"/>
  <c r="K14" i="19" l="1"/>
  <c r="AD14" i="19" s="1"/>
  <c r="AH5" i="19"/>
  <c r="O17" i="19"/>
  <c r="O18" i="19" s="1"/>
  <c r="P5" i="19"/>
  <c r="K5" i="19"/>
  <c r="I6" i="7"/>
  <c r="K6" i="19" s="1"/>
  <c r="AD6" i="19" s="1"/>
  <c r="G9" i="19"/>
  <c r="G11" i="19"/>
  <c r="Z11" i="19" s="1"/>
  <c r="G13" i="19"/>
  <c r="Z13" i="19" s="1"/>
  <c r="G14" i="19"/>
  <c r="G15" i="19"/>
  <c r="G19" i="6"/>
  <c r="G20" i="6" s="1"/>
  <c r="F19" i="6"/>
  <c r="E19" i="6"/>
  <c r="G16" i="19"/>
  <c r="G12" i="19"/>
  <c r="Z12" i="19" s="1"/>
  <c r="G10" i="19"/>
  <c r="G8" i="19"/>
  <c r="H7" i="19"/>
  <c r="AA7" i="19" s="1"/>
  <c r="H8" i="19"/>
  <c r="AA8" i="19" s="1"/>
  <c r="H9" i="19"/>
  <c r="AA9" i="19" s="1"/>
  <c r="H10" i="19"/>
  <c r="AA10" i="19" s="1"/>
  <c r="H11" i="19"/>
  <c r="AA11" i="19" s="1"/>
  <c r="H12" i="19"/>
  <c r="AA12" i="19" s="1"/>
  <c r="H13" i="19"/>
  <c r="AA13" i="19" s="1"/>
  <c r="H14" i="19"/>
  <c r="AA14" i="19" s="1"/>
  <c r="H15" i="19"/>
  <c r="AA15" i="19" s="1"/>
  <c r="H16" i="19"/>
  <c r="AA16" i="19" s="1"/>
  <c r="H6" i="19"/>
  <c r="AA6" i="19" s="1"/>
  <c r="E18" i="5"/>
  <c r="F18" i="5"/>
  <c r="J12" i="19"/>
  <c r="AC12" i="19" s="1"/>
  <c r="J15" i="19"/>
  <c r="AC15" i="19" s="1"/>
  <c r="J16" i="19"/>
  <c r="AC16" i="19" s="1"/>
  <c r="J7" i="19"/>
  <c r="AC7" i="19" s="1"/>
  <c r="J8" i="19"/>
  <c r="AC8" i="19" s="1"/>
  <c r="J9" i="19"/>
  <c r="AC9" i="19" s="1"/>
  <c r="J10" i="19"/>
  <c r="AC10" i="19" s="1"/>
  <c r="J11" i="19"/>
  <c r="AC11" i="19" s="1"/>
  <c r="J13" i="19"/>
  <c r="AC13" i="19" s="1"/>
  <c r="J14" i="19"/>
  <c r="AC14" i="19" s="1"/>
  <c r="J6" i="19"/>
  <c r="AC6" i="19" s="1"/>
  <c r="G7" i="3"/>
  <c r="H7" i="3" s="1"/>
  <c r="N6" i="19" s="1"/>
  <c r="AG6" i="19" s="1"/>
  <c r="G8" i="3"/>
  <c r="H8" i="3" s="1"/>
  <c r="N7" i="19" s="1"/>
  <c r="AG7" i="19" s="1"/>
  <c r="G9" i="3"/>
  <c r="H9" i="3" s="1"/>
  <c r="N8" i="19" s="1"/>
  <c r="AG8" i="19" s="1"/>
  <c r="G10" i="3"/>
  <c r="H10" i="3" s="1"/>
  <c r="N9" i="19" s="1"/>
  <c r="AG9" i="19" s="1"/>
  <c r="G11" i="3"/>
  <c r="H11" i="3" s="1"/>
  <c r="N10" i="19" s="1"/>
  <c r="AG10" i="19" s="1"/>
  <c r="G12" i="3"/>
  <c r="H12" i="3" s="1"/>
  <c r="N11" i="19" s="1"/>
  <c r="AG11" i="19" s="1"/>
  <c r="G13" i="3"/>
  <c r="H13" i="3" s="1"/>
  <c r="N12" i="19" s="1"/>
  <c r="AG12" i="19" s="1"/>
  <c r="G14" i="3"/>
  <c r="H14" i="3" s="1"/>
  <c r="N13" i="19" s="1"/>
  <c r="AG13" i="19" s="1"/>
  <c r="G15" i="3"/>
  <c r="H15" i="3" s="1"/>
  <c r="N14" i="19" s="1"/>
  <c r="AG14" i="19" s="1"/>
  <c r="G16" i="3"/>
  <c r="H16" i="3" s="1"/>
  <c r="N15" i="19" s="1"/>
  <c r="AG15" i="19" s="1"/>
  <c r="G17" i="3"/>
  <c r="H17" i="3" s="1"/>
  <c r="N16" i="19" s="1"/>
  <c r="AG16" i="19" s="1"/>
  <c r="G6" i="3"/>
  <c r="H6" i="3" s="1"/>
  <c r="I14" i="4"/>
  <c r="T13" i="19" s="1"/>
  <c r="AM13" i="19" s="1"/>
  <c r="AU13" i="19" s="1"/>
  <c r="I15" i="4"/>
  <c r="T14" i="19" s="1"/>
  <c r="AM14" i="19" s="1"/>
  <c r="AU14" i="19" s="1"/>
  <c r="I16" i="4"/>
  <c r="T15" i="19" s="1"/>
  <c r="AM15" i="19" s="1"/>
  <c r="AU15" i="19" s="1"/>
  <c r="T12" i="19"/>
  <c r="AM12" i="19" s="1"/>
  <c r="AU12" i="19" s="1"/>
  <c r="I12" i="4"/>
  <c r="T11" i="19" s="1"/>
  <c r="AM11" i="19" s="1"/>
  <c r="AU11" i="19" s="1"/>
  <c r="F18" i="3"/>
  <c r="E18" i="3"/>
  <c r="I17" i="7" l="1"/>
  <c r="I18" i="7" s="1"/>
  <c r="H19" i="6"/>
  <c r="H20" i="6" s="1"/>
  <c r="AD5" i="19"/>
  <c r="K17" i="19"/>
  <c r="K18" i="19" s="1"/>
  <c r="AI5" i="19"/>
  <c r="AR5" i="19" s="1"/>
  <c r="P17" i="19"/>
  <c r="P18" i="19" s="1"/>
  <c r="H18" i="3"/>
  <c r="N5" i="19"/>
  <c r="J5" i="19"/>
  <c r="H5" i="19"/>
  <c r="G5" i="19"/>
  <c r="G18" i="4"/>
  <c r="G7" i="19"/>
  <c r="G20" i="5"/>
  <c r="I7" i="4"/>
  <c r="G6" i="19" l="1"/>
  <c r="Z6" i="19" s="1"/>
  <c r="I20" i="6"/>
  <c r="AA5" i="19"/>
  <c r="H17" i="19"/>
  <c r="H18" i="19" s="1"/>
  <c r="AC5" i="19"/>
  <c r="J17" i="19"/>
  <c r="J18" i="19" s="1"/>
  <c r="AG5" i="19"/>
  <c r="N17" i="19"/>
  <c r="N18" i="19" s="1"/>
  <c r="T6" i="19"/>
  <c r="I18" i="4"/>
  <c r="G18" i="1"/>
  <c r="G17" i="19" l="1"/>
  <c r="G18" i="19" s="1"/>
  <c r="AM6" i="19"/>
  <c r="AU6" i="19" s="1"/>
  <c r="T17" i="19"/>
  <c r="T18" i="19" s="1"/>
  <c r="I16" i="19"/>
  <c r="I15" i="19"/>
  <c r="I14" i="19"/>
  <c r="I13" i="19"/>
  <c r="I12" i="19"/>
  <c r="I11" i="19"/>
  <c r="I10" i="19"/>
  <c r="I9" i="19"/>
  <c r="I8" i="19"/>
  <c r="V8" i="19" s="1"/>
  <c r="I7" i="19"/>
  <c r="I6" i="19"/>
  <c r="V6" i="19" s="1"/>
  <c r="F18" i="2"/>
  <c r="E18" i="2"/>
  <c r="F18" i="1"/>
  <c r="E18" i="1"/>
  <c r="AB6" i="19" l="1"/>
  <c r="AO6" i="19" s="1"/>
  <c r="AP6" i="19" s="1"/>
  <c r="AB8" i="19"/>
  <c r="AO8" i="19" s="1"/>
  <c r="AP8" i="19" s="1"/>
  <c r="V10" i="19"/>
  <c r="AB10" i="19"/>
  <c r="AO10" i="19" s="1"/>
  <c r="AP10" i="19" s="1"/>
  <c r="V12" i="19"/>
  <c r="AB12" i="19"/>
  <c r="AO12" i="19" s="1"/>
  <c r="AP12" i="19" s="1"/>
  <c r="V14" i="19"/>
  <c r="AB14" i="19"/>
  <c r="AO14" i="19" s="1"/>
  <c r="AP14" i="19" s="1"/>
  <c r="V16" i="19"/>
  <c r="AB16" i="19"/>
  <c r="AO16" i="19" s="1"/>
  <c r="AP16" i="19" s="1"/>
  <c r="I5" i="19"/>
  <c r="V5" i="19" s="1"/>
  <c r="AB7" i="19"/>
  <c r="AO7" i="19" s="1"/>
  <c r="AP7" i="19" s="1"/>
  <c r="V7" i="19"/>
  <c r="V9" i="19"/>
  <c r="AB9" i="19"/>
  <c r="AO9" i="19" s="1"/>
  <c r="AP9" i="19" s="1"/>
  <c r="V11" i="19"/>
  <c r="AB11" i="19"/>
  <c r="AO11" i="19" s="1"/>
  <c r="AP11" i="19" s="1"/>
  <c r="V13" i="19"/>
  <c r="AB13" i="19"/>
  <c r="AO13" i="19" s="1"/>
  <c r="AP13" i="19" s="1"/>
  <c r="V15" i="19"/>
  <c r="AB15" i="19"/>
  <c r="AO15" i="19" s="1"/>
  <c r="AP15" i="19" s="1"/>
  <c r="G18" i="2"/>
  <c r="AB5" i="19" l="1"/>
  <c r="I17" i="19"/>
  <c r="I18" i="19" s="1"/>
  <c r="V17" i="19"/>
  <c r="V18" i="19" s="1"/>
</calcChain>
</file>

<file path=xl/sharedStrings.xml><?xml version="1.0" encoding="utf-8"?>
<sst xmlns="http://schemas.openxmlformats.org/spreadsheetml/2006/main" count="1224" uniqueCount="224">
  <si>
    <t>№ п/п</t>
  </si>
  <si>
    <t>ИНН</t>
  </si>
  <si>
    <t>ГРБС</t>
  </si>
  <si>
    <t>Планы-ГРАФИКИ закупок</t>
  </si>
  <si>
    <t>Всего поступило</t>
  </si>
  <si>
    <t>отклонено</t>
  </si>
  <si>
    <t>N</t>
  </si>
  <si>
    <t>No</t>
  </si>
  <si>
    <t>1</t>
  </si>
  <si>
    <t>901</t>
  </si>
  <si>
    <t>2352037768</t>
  </si>
  <si>
    <t xml:space="preserve">СОВЕТ МУНИЦИПАЛЬНОГО ОБРАЗОВАНИЯ </t>
  </si>
  <si>
    <t>902</t>
  </si>
  <si>
    <t>2352023878</t>
  </si>
  <si>
    <t>АДМИНИСТРАЦИЯ МО ТЕМРЮКСКИЙ РАЙОН</t>
  </si>
  <si>
    <t>2</t>
  </si>
  <si>
    <t>3</t>
  </si>
  <si>
    <t>4</t>
  </si>
  <si>
    <t>5</t>
  </si>
  <si>
    <t>6</t>
  </si>
  <si>
    <t>7</t>
  </si>
  <si>
    <t>8</t>
  </si>
  <si>
    <t>905</t>
  </si>
  <si>
    <t>2352045416</t>
  </si>
  <si>
    <t>ФИНАНСОВОЕ УПРАВЛЕНИЕ МОТР</t>
  </si>
  <si>
    <t>908</t>
  </si>
  <si>
    <t>2352050350</t>
  </si>
  <si>
    <t>ОТДЕЛ ВНУТРЕННЕГО ФИНАНСОВОГО КОНТРОЛЯ</t>
  </si>
  <si>
    <t>910</t>
  </si>
  <si>
    <t>2352048079</t>
  </si>
  <si>
    <t xml:space="preserve">КОНТРОЛЬНО-СЧЕТНАЯ ПАЛАТА МУНИЦИПАЛЬНОГО ОБРАЗОВАНИЯ </t>
  </si>
  <si>
    <t>921</t>
  </si>
  <si>
    <t>2352054072</t>
  </si>
  <si>
    <t>УПРАВЛЕНИЕ МУНИЦИПАЛЬНОГО КОНТРОЛЯ</t>
  </si>
  <si>
    <t>924</t>
  </si>
  <si>
    <t>2352050423</t>
  </si>
  <si>
    <t>УКС И ТЭК</t>
  </si>
  <si>
    <t>12</t>
  </si>
  <si>
    <t>2352016528</t>
  </si>
  <si>
    <t>УПРАВЛЕНИЕ ОБРАЗОВАНИЕМ</t>
  </si>
  <si>
    <t>925</t>
  </si>
  <si>
    <t>926</t>
  </si>
  <si>
    <t>2352016510</t>
  </si>
  <si>
    <t>УПРАВЛЕНИЕ КУЛЬТУРЫ</t>
  </si>
  <si>
    <t>929</t>
  </si>
  <si>
    <t>2352046473</t>
  </si>
  <si>
    <t>ОФК И С АДМИНИСТРАЦИИ МОТР.</t>
  </si>
  <si>
    <t>934</t>
  </si>
  <si>
    <t>2352031364</t>
  </si>
  <si>
    <t>ОТДЕЛ ПО ДЕЛАМ МОЛОДЕЖИ</t>
  </si>
  <si>
    <t>953</t>
  </si>
  <si>
    <t>2352045529</t>
  </si>
  <si>
    <t>УПРАВЛЕНИЕ ПО ВОПРОСАМ СЕМЬИ И ДЕТСТВА</t>
  </si>
  <si>
    <t>Заявки на КР</t>
  </si>
  <si>
    <t>E (P)</t>
  </si>
  <si>
    <t>средний показатель</t>
  </si>
  <si>
    <t>P=(No/N)*100, %</t>
  </si>
  <si>
    <t>Вес показателя - 5</t>
  </si>
  <si>
    <t>итого</t>
  </si>
  <si>
    <t>Оценка показателя</t>
  </si>
  <si>
    <t>Приостановление операций по расходованию средств на лицевых счетах ПБС</t>
  </si>
  <si>
    <t>Уведомления о приостановлении операций</t>
  </si>
  <si>
    <t>P=Po</t>
  </si>
  <si>
    <t>P*=10</t>
  </si>
  <si>
    <t>1-(P/P*), если Р&lt;P*                      0, если Р≥P*</t>
  </si>
  <si>
    <r>
      <t>P=(N</t>
    </r>
    <r>
      <rPr>
        <sz val="13.2"/>
        <color theme="1"/>
        <rFont val="Times New Roman"/>
        <family val="1"/>
        <charset val="204"/>
      </rPr>
      <t>i/N)*100</t>
    </r>
  </si>
  <si>
    <t>Наличие на официальном сайте в сети Интернет по размещению информации о муниципальных учреждениях (МУ)</t>
  </si>
  <si>
    <t>Общее количество МУ</t>
  </si>
  <si>
    <t>Ni</t>
  </si>
  <si>
    <t xml:space="preserve">Количество МУ, разместивших сведения </t>
  </si>
  <si>
    <t>не применяется</t>
  </si>
  <si>
    <t>Оценка показателя E (P)</t>
  </si>
  <si>
    <t>Оценка показателя                E (P)</t>
  </si>
  <si>
    <t>Оценка показателя   E (P)</t>
  </si>
  <si>
    <t>Своевременность принятия БО</t>
  </si>
  <si>
    <t>отчётный период</t>
  </si>
  <si>
    <t>Sra</t>
  </si>
  <si>
    <t>Lra</t>
  </si>
  <si>
    <t>P=1-(Sra/Lra)</t>
  </si>
  <si>
    <t>Расчёт показателя</t>
  </si>
  <si>
    <t>Объём поставленных на учёт БО (КРКС 110)</t>
  </si>
  <si>
    <t>Объём ЛБО (КРКС 110)</t>
  </si>
  <si>
    <t>1.4. Своевременность принятия бюджетных обязательств</t>
  </si>
  <si>
    <t>1.6 Доля отклоненных планов-графиков (изменений в планы-графики) закупок, представленных в финансовое управление в рамках возложенных функций по осуществлению контроля в сфере закупок</t>
  </si>
  <si>
    <t>1.10 Приостановление операций по расходованию средств на лицевых счетах подведомственных главному администратору получателей средств районного бюджета в связи с нарушением процедур исполнения судебных актов, предусматривающих обращение взыскания на средства районного бюджета по обязательствам муниципальных казенных учреждений</t>
  </si>
  <si>
    <t>4. Наличие на официальном сайте в сети Интернет по размещению информации о государственных и муниципальных учреждениях (www.bus.gov.ru) сведений о муниципальных учреждениях</t>
  </si>
  <si>
    <t>1-(P/100), если Р≤10%                0, если P&gt;10%</t>
  </si>
  <si>
    <t>1-(P/100) ͣ, если Р≤10% 0, если P&gt;10%</t>
  </si>
  <si>
    <t>1, если Р≤0,1       0 в иных случаях</t>
  </si>
  <si>
    <t>Начальник отдела казначейского контроля                                                                                     С.П. Кириченко</t>
  </si>
  <si>
    <t>Bra</t>
  </si>
  <si>
    <t>Era</t>
  </si>
  <si>
    <t>P=(Bra-Era)/Bra</t>
  </si>
  <si>
    <t>ПЛАН</t>
  </si>
  <si>
    <t>Исполнено</t>
  </si>
  <si>
    <r>
      <t>n</t>
    </r>
    <r>
      <rPr>
        <sz val="8"/>
        <color theme="1"/>
        <rFont val="Times New Roman"/>
        <family val="1"/>
        <charset val="204"/>
      </rPr>
      <t>a</t>
    </r>
  </si>
  <si>
    <r>
      <t>N</t>
    </r>
    <r>
      <rPr>
        <sz val="8"/>
        <color theme="1"/>
        <rFont val="Times New Roman"/>
        <family val="1"/>
        <charset val="204"/>
      </rPr>
      <t>a</t>
    </r>
  </si>
  <si>
    <r>
      <t>P=(N</t>
    </r>
    <r>
      <rPr>
        <sz val="8"/>
        <color theme="1"/>
        <rFont val="Times New Roman"/>
        <family val="1"/>
        <charset val="204"/>
      </rPr>
      <t>a</t>
    </r>
    <r>
      <rPr>
        <sz val="12"/>
        <color theme="1"/>
        <rFont val="Times New Roman"/>
        <family val="1"/>
        <charset val="204"/>
      </rPr>
      <t>/n</t>
    </r>
    <r>
      <rPr>
        <sz val="8"/>
        <color theme="1"/>
        <rFont val="Times New Roman"/>
        <family val="1"/>
        <charset val="204"/>
      </rPr>
      <t>a</t>
    </r>
    <r>
      <rPr>
        <sz val="12"/>
        <color theme="1"/>
        <rFont val="Times New Roman"/>
        <family val="1"/>
        <charset val="204"/>
      </rPr>
      <t>)*100</t>
    </r>
  </si>
  <si>
    <t>-</t>
  </si>
  <si>
    <r>
      <t>E(P)=   1, если P</t>
    </r>
    <r>
      <rPr>
        <sz val="12"/>
        <color theme="1"/>
        <rFont val="Calibri"/>
        <family val="2"/>
        <charset val="204"/>
      </rPr>
      <t>≥97%</t>
    </r>
    <r>
      <rPr>
        <sz val="12"/>
        <color theme="1"/>
        <rFont val="Times New Roman"/>
        <family val="1"/>
        <charset val="204"/>
      </rPr>
      <t xml:space="preserve"> и 0, если Р≤97%</t>
    </r>
  </si>
  <si>
    <t>ГРБС не получающие МТ из краевого и федерального бюджетов получают максимальное количество баллов, т.к. отсутствуют основания для снижения общего количества баллов.</t>
  </si>
  <si>
    <t>Объем поступлений по возврату целевых остатков прошлых лет в краевой бюджет</t>
  </si>
  <si>
    <t>Объем поступлений</t>
  </si>
  <si>
    <t>Rp1</t>
  </si>
  <si>
    <t>Rj1</t>
  </si>
  <si>
    <t>P=(Rj1/Rp1)*100</t>
  </si>
  <si>
    <r>
      <t>E(P)=   1, если P</t>
    </r>
    <r>
      <rPr>
        <sz val="12"/>
        <color theme="1"/>
        <rFont val="Calibri"/>
        <family val="2"/>
        <charset val="204"/>
      </rPr>
      <t>≥100%</t>
    </r>
    <r>
      <rPr>
        <sz val="12"/>
        <color theme="1"/>
        <rFont val="Times New Roman"/>
        <family val="1"/>
        <charset val="204"/>
      </rPr>
      <t xml:space="preserve"> и 0, если Р≤100%</t>
    </r>
  </si>
  <si>
    <t>Код адм</t>
  </si>
  <si>
    <t>Код адм.</t>
  </si>
  <si>
    <t>R</t>
  </si>
  <si>
    <t>Rn</t>
  </si>
  <si>
    <t>Объем поступлений налоговых и неналоговых доходов</t>
  </si>
  <si>
    <t>Утвержденное бюджетное назначение по налоговым и неналоговым доходам</t>
  </si>
  <si>
    <t>P=(R/Rn)*100</t>
  </si>
  <si>
    <t>Начальник отдела отраслевого финансирования и доходов бюджета</t>
  </si>
  <si>
    <t>Т.В. Грызунок</t>
  </si>
  <si>
    <r>
      <rPr>
        <b/>
        <sz val="10"/>
        <color theme="1"/>
        <rFont val="Times New Roman"/>
        <family val="1"/>
        <charset val="204"/>
      </rPr>
      <t>E(P)= 1</t>
    </r>
    <r>
      <rPr>
        <sz val="10"/>
        <color theme="1"/>
        <rFont val="Times New Roman"/>
        <family val="1"/>
        <charset val="204"/>
      </rPr>
      <t xml:space="preserve">, если 100≤P≤105 либо R=0 (при этом Rn=0)
</t>
    </r>
    <r>
      <rPr>
        <b/>
        <sz val="10"/>
        <color theme="1"/>
        <rFont val="Times New Roman"/>
        <family val="1"/>
        <charset val="204"/>
      </rPr>
      <t>E(P)= 0,5</t>
    </r>
    <r>
      <rPr>
        <sz val="10"/>
        <color theme="1"/>
        <rFont val="Times New Roman"/>
        <family val="1"/>
        <charset val="204"/>
      </rPr>
      <t xml:space="preserve">, если 95≤P&lt;100 либо P&gt;105
либо Rn=0 при этом R&gt;0 или R&lt;0 
</t>
    </r>
    <r>
      <rPr>
        <b/>
        <sz val="10"/>
        <color theme="1"/>
        <rFont val="Times New Roman"/>
        <family val="1"/>
        <charset val="204"/>
      </rPr>
      <t>E(P)= 0</t>
    </r>
    <r>
      <rPr>
        <sz val="10"/>
        <color theme="1"/>
        <rFont val="Times New Roman"/>
        <family val="1"/>
        <charset val="204"/>
      </rPr>
      <t>, если P&lt;95</t>
    </r>
  </si>
  <si>
    <t>Оценка показателя
E (P)</t>
  </si>
  <si>
    <t>1.8. Эффективность управления кредиторской задолженностью по расчетам с поставщиками и подрядчиками</t>
  </si>
  <si>
    <t xml:space="preserve">Кредиторская задолженность </t>
  </si>
  <si>
    <t>фактический объем расходов</t>
  </si>
  <si>
    <t>K</t>
  </si>
  <si>
    <t>Ek</t>
  </si>
  <si>
    <t>P=(K/Ek)*100, %</t>
  </si>
  <si>
    <t>Начальник отдела учета и отчетности                                                                    Е.А.Кучерявых</t>
  </si>
  <si>
    <t>1-(P/100) ͣ, если Р≤1,5% 0, если P&gt;1,5%</t>
  </si>
  <si>
    <t>Объем просроченной кредиторской задолженности</t>
  </si>
  <si>
    <t>E(P)=   1, если P=0 и 0, если Р&gt;0</t>
  </si>
  <si>
    <t>Вес показателя - 10</t>
  </si>
  <si>
    <t>Начальник  отдела учета и отчетности                                                                                                                       Е.А. Кучерявых</t>
  </si>
  <si>
    <t>на начало периода</t>
  </si>
  <si>
    <t>на конец периода</t>
  </si>
  <si>
    <r>
      <t>Dp</t>
    </r>
    <r>
      <rPr>
        <sz val="8"/>
        <color theme="1"/>
        <rFont val="Times New Roman"/>
        <family val="1"/>
        <charset val="204"/>
      </rPr>
      <t>1</t>
    </r>
  </si>
  <si>
    <r>
      <t>Dp</t>
    </r>
    <r>
      <rPr>
        <sz val="8"/>
        <color theme="1"/>
        <rFont val="Times New Roman"/>
        <family val="1"/>
        <charset val="204"/>
      </rPr>
      <t>0</t>
    </r>
  </si>
  <si>
    <t>Начальник  отдела учета и отчетности                                                                                                                                                                          Е.А.Кучерявых</t>
  </si>
  <si>
    <r>
      <t>1, если Р</t>
    </r>
    <r>
      <rPr>
        <sz val="12"/>
        <color theme="1"/>
        <rFont val="Calibri"/>
        <family val="2"/>
        <charset val="204"/>
      </rPr>
      <t>≥</t>
    </r>
    <r>
      <rPr>
        <sz val="13.2"/>
        <color theme="1"/>
        <rFont val="Times New Roman"/>
        <family val="1"/>
        <charset val="204"/>
      </rPr>
      <t>99%</t>
    </r>
    <r>
      <rPr>
        <sz val="12"/>
        <color theme="1"/>
        <rFont val="Times New Roman"/>
        <family val="1"/>
        <charset val="204"/>
      </rPr>
      <t xml:space="preserve">   0, если Р</t>
    </r>
    <r>
      <rPr>
        <sz val="12"/>
        <color theme="1"/>
        <rFont val="Calibri"/>
        <family val="2"/>
        <charset val="204"/>
      </rPr>
      <t>&lt;</t>
    </r>
    <r>
      <rPr>
        <sz val="13.2"/>
        <color theme="1"/>
        <rFont val="Times New Roman"/>
        <family val="1"/>
        <charset val="204"/>
      </rPr>
      <t>99%</t>
    </r>
  </si>
  <si>
    <t xml:space="preserve">3.1  Степень достоверности бюджетной отчетности </t>
  </si>
  <si>
    <t>Sp</t>
  </si>
  <si>
    <t>Eb</t>
  </si>
  <si>
    <t>P=Sp/Eb</t>
  </si>
  <si>
    <t xml:space="preserve">3.2  Нарушение требований к бюджетному учету, в том числе к составлению, представлению бюджетной отчетности </t>
  </si>
  <si>
    <t>Наличие фактов нарушений требований к бюджетному учету</t>
  </si>
  <si>
    <t>Q ot</t>
  </si>
  <si>
    <t>P=Qot</t>
  </si>
  <si>
    <t>Объем изменений СБР</t>
  </si>
  <si>
    <t>Общий объем БА</t>
  </si>
  <si>
    <r>
      <t>S</t>
    </r>
    <r>
      <rPr>
        <sz val="8"/>
        <color theme="1"/>
        <rFont val="Times New Roman"/>
        <family val="1"/>
        <charset val="204"/>
      </rPr>
      <t>1</t>
    </r>
  </si>
  <si>
    <t>b</t>
  </si>
  <si>
    <r>
      <t>P=S</t>
    </r>
    <r>
      <rPr>
        <sz val="8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/b*100</t>
    </r>
  </si>
  <si>
    <r>
      <t>E(P)=1-(P/100), если Р≤15% и 0, если P</t>
    </r>
    <r>
      <rPr>
        <sz val="12"/>
        <color theme="1"/>
        <rFont val="Calibri"/>
        <family val="2"/>
        <charset val="204"/>
      </rPr>
      <t>&gt;15%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</si>
  <si>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</si>
  <si>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</si>
  <si>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</si>
  <si>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</si>
  <si>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</si>
  <si>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</si>
  <si>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</si>
  <si>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</si>
  <si>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</si>
  <si>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</si>
  <si>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</si>
  <si>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r>
      <t>P=((</t>
    </r>
    <r>
      <rPr>
        <sz val="12"/>
        <color theme="1"/>
        <rFont val="Calibri"/>
        <family val="2"/>
        <charset val="204"/>
      </rPr>
      <t>∑</t>
    </r>
    <r>
      <rPr>
        <sz val="12"/>
        <color theme="1"/>
        <rFont val="Times New Roman"/>
        <family val="1"/>
        <charset val="204"/>
      </rPr>
      <t>mj)/12)*100</t>
    </r>
  </si>
  <si>
    <r>
      <t>E(P)=P/100,  если 97%</t>
    </r>
    <r>
      <rPr>
        <sz val="12"/>
        <color theme="1"/>
        <rFont val="Calibri"/>
        <family val="2"/>
        <charset val="204"/>
      </rPr>
      <t>&gt;</t>
    </r>
    <r>
      <rPr>
        <sz val="12"/>
        <color theme="1"/>
        <rFont val="Times New Roman"/>
        <family val="1"/>
        <charset val="204"/>
      </rPr>
      <t>Р</t>
    </r>
    <r>
      <rPr>
        <sz val="12"/>
        <color theme="1"/>
        <rFont val="Calibri"/>
        <family val="2"/>
        <charset val="204"/>
      </rPr>
      <t>&gt;</t>
    </r>
    <r>
      <rPr>
        <sz val="12"/>
        <color theme="1"/>
        <rFont val="Times New Roman"/>
        <family val="1"/>
        <charset val="204"/>
      </rPr>
      <t xml:space="preserve">75%,   1, если              P </t>
    </r>
    <r>
      <rPr>
        <sz val="12"/>
        <color theme="1"/>
        <rFont val="Calibri"/>
        <family val="2"/>
        <charset val="204"/>
      </rPr>
      <t xml:space="preserve">≥ </t>
    </r>
    <r>
      <rPr>
        <sz val="12"/>
        <color theme="1"/>
        <rFont val="Times New Roman"/>
        <family val="1"/>
        <charset val="204"/>
      </rPr>
      <t>97% и 0, если P</t>
    </r>
    <r>
      <rPr>
        <sz val="12"/>
        <color theme="1"/>
        <rFont val="Calibri"/>
        <family val="2"/>
        <charset val="204"/>
      </rPr>
      <t>≤75%</t>
    </r>
  </si>
  <si>
    <t>Наименование ГРБС</t>
  </si>
  <si>
    <t>Итоговое количество баллов</t>
  </si>
  <si>
    <t>Значение показателей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</si>
  <si>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</si>
  <si>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</si>
  <si>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</si>
  <si>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</si>
  <si>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</si>
  <si>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</si>
  <si>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</si>
  <si>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</si>
  <si>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</si>
  <si>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</si>
  <si>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2.1.</t>
  </si>
  <si>
    <t>2.2.</t>
  </si>
  <si>
    <t>2.3.</t>
  </si>
  <si>
    <t>3.1.</t>
  </si>
  <si>
    <t>3.2.</t>
  </si>
  <si>
    <t>4.</t>
  </si>
  <si>
    <t>5.</t>
  </si>
  <si>
    <t>РЕЙТИНГ</t>
  </si>
  <si>
    <t>Средний показатель</t>
  </si>
  <si>
    <t>ОКТЯБРЬ</t>
  </si>
  <si>
    <t xml:space="preserve">5  Управление активами (имуществом) </t>
  </si>
  <si>
    <t>Сумма недостач, выявленных главным администратором и подведомственными ему получателями бюджетных средств при инвентаризации имущества в целях составления годовой бюджетной отчетности</t>
  </si>
  <si>
    <t>Qot</t>
  </si>
  <si>
    <t>Оценка показателя   E (P) =  0, если нарушения выявлены,  E (P) = 1, если нарушений не выявлено</t>
  </si>
  <si>
    <t>P=(Dp1-Dp0)/Dp0, если Dp1=Dp0=0, то Р=-1</t>
  </si>
  <si>
    <t>Сумма искажений показателей бюджетной отчетности, тыс. руб.</t>
  </si>
  <si>
    <t>Суммарное значение показателей бюджетной отчетности, по которым выявлены искажения, тыс.руб.</t>
  </si>
  <si>
    <t>ИТОГО</t>
  </si>
  <si>
    <t xml:space="preserve">ОТЧЕТ </t>
  </si>
  <si>
    <t>Оценка показателя   E (P) = 0, если нарушения выявлены, 1, если нарушений не выявлено</t>
  </si>
  <si>
    <t>Начальник бюджетного отдела                                                                                                                                                                                     Ю.А. Лебедева</t>
  </si>
  <si>
    <r>
      <t>E(P)=(0,1-P)/0,08, если 0,02&lt;P&lt;0,1; 1,если Р≤0,02 и 0, если P</t>
    </r>
    <r>
      <rPr>
        <sz val="12"/>
        <color theme="1"/>
        <rFont val="Calibri"/>
        <family val="2"/>
        <charset val="204"/>
      </rPr>
      <t>≥</t>
    </r>
    <r>
      <rPr>
        <sz val="12"/>
        <color theme="1"/>
        <rFont val="Times New Roman"/>
        <family val="1"/>
        <charset val="204"/>
      </rPr>
      <t>0,1</t>
    </r>
  </si>
  <si>
    <t xml:space="preserve">Начальник отдела учета и отчетности                                                                                                                                              Е.А. Кучерявых                                                                                                                                            </t>
  </si>
  <si>
    <t>Отсутствие остатков на 1.01.2022 не влияет на снижение показателя ГРБС.</t>
  </si>
  <si>
    <t>Начальник отдела учета и отчетности                                                                                                                                                                                                    Е.А.Кучерявых</t>
  </si>
  <si>
    <r>
      <t>E(P)= 0, если P</t>
    </r>
    <r>
      <rPr>
        <sz val="12"/>
        <color theme="1"/>
        <rFont val="Calibri"/>
        <family val="2"/>
        <charset val="204"/>
      </rPr>
      <t xml:space="preserve">≥ 0 </t>
    </r>
    <r>
      <rPr>
        <sz val="12"/>
        <color theme="1"/>
        <rFont val="Times New Roman"/>
        <family val="1"/>
        <charset val="204"/>
      </rPr>
      <t>и        -2P, если -0,5&lt;Р&lt;0,         1, если P&lt;-0,5</t>
    </r>
  </si>
  <si>
    <t xml:space="preserve">Начальник отдела учета и отчетности                                                                                                                               Е.А.Кучерявых  </t>
  </si>
  <si>
    <t>Оценка показателя   E (P)= 0, если Sp ≥ St или P ≥0,1;     Если Sp&lt;St и P&lt;0,1, то по формуле (1-(P/0,1) * (1-(Sp/St))   St = 500  тыс.руб.</t>
  </si>
  <si>
    <t>Просроченная дебиторская задолженность</t>
  </si>
  <si>
    <t>2022 справочно</t>
  </si>
  <si>
    <t>2023 год</t>
  </si>
  <si>
    <t>1.9. Наличие просроченной кредиторской задолженности по расходам в 2023 году</t>
  </si>
  <si>
    <t>2.2. Качество администрирования доходов районного бюджета по возврату неиспользованных остатков межбюджетных трансфертов, имеющих целевое назначение в 2023 году</t>
  </si>
  <si>
    <t>2.3  Качество управления просроченной дебиторской задолженностью районного бюджета в 2023 году</t>
  </si>
  <si>
    <t>1.5 Несоответствие расчетно-платежных документов, представленных в финансовое управление, требованиям бюджетного законодательства Российской Федерации за 2023 год</t>
  </si>
  <si>
    <t>1.1 Качество планирования расходов в 2023 году</t>
  </si>
  <si>
    <t>Объем расходов 2023 года</t>
  </si>
  <si>
    <t>1.3 Доля неисполненных на конец года бюджетных ассигнованиях в 2023 году</t>
  </si>
  <si>
    <t xml:space="preserve">                                                                                                                                                                                                                  1.2. Качество исполнения кассового плана в 2023 году</t>
  </si>
  <si>
    <t xml:space="preserve">                                                                                                                                                     Объем расходов 2023 года</t>
  </si>
  <si>
    <t>1.7. Эффективность использования межбюджетных трансфертов, имеющих целевое назначение, полученных из краевого бюджета в 2023 году</t>
  </si>
  <si>
    <t>Объем расходов за счет МТ в 2023 года (из краевого и федерального бюджетов)</t>
  </si>
  <si>
    <t>о результатах мониторинга качества финансового менеджмента главных распоредителей средств бюджета муниципального образования Темрюкский район за 2023 год</t>
  </si>
  <si>
    <t>Начальник финансового управления                                                                                                                                                 Р.Б. Волков</t>
  </si>
  <si>
    <t>2.1. Качество планирования поступлений налоговых и неналоговых доходов районного бюджета в 2023 году</t>
  </si>
  <si>
    <t>Начальник бюджетного отдела                                                                                                                                                                    Ю.А. Лебедева</t>
  </si>
  <si>
    <t>Начальник бюджетного отдела                                                                                                                                                                                        Ю.А. Лебедева</t>
  </si>
  <si>
    <t>Начальник бюджетного отдела                                                                                       Ю.А. Лебедева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</si>
</sst>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"/>
    <numFmt numFmtId="165" formatCode="#,##0.0"/>
    <numFmt numFmtId="166" formatCode="#,##0.0;[Red]\-#,##0.0;0.0"/>
    <numFmt numFmtId="167" formatCode="#,##0.00_ ;[Red]\-#,##0.00\ "/>
    <numFmt numFmtId="168" formatCode="#,##0.00;[Red]\-#,##0.00;0.00"/>
    <numFmt numFmtId="169" formatCode="0.0"/>
    <numFmt numFmtId="170" formatCode="#,##0.000;[Red]\-#,##0.000;0.000"/>
    <numFmt numFmtId="171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Calibri"/>
      <family val="2"/>
      <charset val="204"/>
    </font>
    <font>
      <sz val="13.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517">
    <xf numFmtId="0" fontId="0" fillId="0" borderId="0" xfId="0"/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4" fontId="1" fillId="0" borderId="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2" borderId="0" xfId="0" applyFont="1" applyFill="1"/>
    <xf numFmtId="49" fontId="1" fillId="2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2" borderId="1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1" fillId="2" borderId="18" xfId="0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 wrapText="1"/>
    </xf>
    <xf numFmtId="0" fontId="2" fillId="0" borderId="0" xfId="0" applyFont="1"/>
    <xf numFmtId="2" fontId="1" fillId="2" borderId="0" xfId="0" applyNumberFormat="1" applyFont="1" applyFill="1"/>
    <xf numFmtId="3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0" borderId="0" xfId="0" applyNumberFormat="1" applyFont="1" applyFill="1"/>
    <xf numFmtId="3" fontId="1" fillId="0" borderId="0" xfId="0" applyNumberFormat="1" applyFont="1" applyFill="1"/>
    <xf numFmtId="0" fontId="3" fillId="0" borderId="0" xfId="0" applyFont="1" applyFill="1" applyAlignment="1">
      <alignment horizontal="center"/>
    </xf>
    <xf numFmtId="0" fontId="1" fillId="0" borderId="38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45" xfId="0" applyFont="1" applyFill="1" applyBorder="1" applyAlignment="1">
      <alignment horizontal="left" vertical="top" wrapText="1"/>
    </xf>
    <xf numFmtId="49" fontId="1" fillId="0" borderId="4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4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4" fontId="2" fillId="0" borderId="19" xfId="0" applyNumberFormat="1" applyFont="1" applyFill="1" applyBorder="1"/>
    <xf numFmtId="4" fontId="1" fillId="2" borderId="26" xfId="0" applyNumberFormat="1" applyFont="1" applyFill="1" applyBorder="1" applyAlignment="1">
      <alignment horizontal="center" vertical="center"/>
    </xf>
    <xf numFmtId="165" fontId="1" fillId="4" borderId="8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/>
    </xf>
    <xf numFmtId="4" fontId="1" fillId="0" borderId="5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" fontId="1" fillId="3" borderId="8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wrapText="1"/>
    </xf>
    <xf numFmtId="0" fontId="1" fillId="0" borderId="47" xfId="0" applyFont="1" applyFill="1" applyBorder="1" applyAlignment="1">
      <alignment horizontal="left" wrapText="1"/>
    </xf>
    <xf numFmtId="0" fontId="2" fillId="0" borderId="51" xfId="0" applyFont="1" applyFill="1" applyBorder="1" applyAlignment="1">
      <alignment horizontal="left" wrapText="1"/>
    </xf>
    <xf numFmtId="0" fontId="8" fillId="5" borderId="22" xfId="0" applyFont="1" applyFill="1" applyBorder="1" applyAlignment="1">
      <alignment wrapText="1"/>
    </xf>
    <xf numFmtId="4" fontId="8" fillId="5" borderId="8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vertical="top" wrapText="1"/>
    </xf>
    <xf numFmtId="0" fontId="1" fillId="0" borderId="56" xfId="0" applyFont="1" applyFill="1" applyBorder="1" applyAlignment="1">
      <alignment horizontal="left" vertical="top" wrapText="1"/>
    </xf>
    <xf numFmtId="0" fontId="8" fillId="5" borderId="41" xfId="0" applyFont="1" applyFill="1" applyBorder="1" applyAlignment="1">
      <alignment horizontal="left"/>
    </xf>
    <xf numFmtId="0" fontId="8" fillId="5" borderId="57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1" fillId="5" borderId="39" xfId="0" applyFont="1" applyFill="1" applyBorder="1"/>
    <xf numFmtId="0" fontId="1" fillId="5" borderId="0" xfId="0" applyFont="1" applyFill="1" applyBorder="1"/>
    <xf numFmtId="0" fontId="1" fillId="5" borderId="17" xfId="0" applyFont="1" applyFill="1" applyBorder="1"/>
    <xf numFmtId="0" fontId="1" fillId="5" borderId="33" xfId="0" applyFont="1" applyFill="1" applyBorder="1"/>
    <xf numFmtId="0" fontId="1" fillId="5" borderId="58" xfId="0" applyFont="1" applyFill="1" applyBorder="1"/>
    <xf numFmtId="0" fontId="10" fillId="5" borderId="16" xfId="0" applyFont="1" applyFill="1" applyBorder="1" applyAlignment="1">
      <alignment horizontal="left" vertical="top" wrapText="1"/>
    </xf>
    <xf numFmtId="4" fontId="2" fillId="5" borderId="2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Border="1" applyAlignment="1"/>
    <xf numFmtId="4" fontId="6" fillId="0" borderId="48" xfId="0" applyNumberFormat="1" applyFont="1" applyFill="1" applyBorder="1" applyAlignment="1" applyProtection="1">
      <alignment horizontal="right"/>
      <protection hidden="1"/>
    </xf>
    <xf numFmtId="4" fontId="6" fillId="0" borderId="26" xfId="0" applyNumberFormat="1" applyFont="1" applyFill="1" applyBorder="1" applyAlignment="1" applyProtection="1">
      <alignment horizontal="right"/>
      <protection hidden="1"/>
    </xf>
    <xf numFmtId="4" fontId="6" fillId="0" borderId="47" xfId="0" applyNumberFormat="1" applyFont="1" applyFill="1" applyBorder="1" applyAlignment="1" applyProtection="1">
      <alignment horizontal="right"/>
      <protection hidden="1"/>
    </xf>
    <xf numFmtId="4" fontId="6" fillId="0" borderId="1" xfId="0" applyNumberFormat="1" applyFont="1" applyFill="1" applyBorder="1" applyAlignment="1" applyProtection="1">
      <alignment horizontal="right"/>
      <protection hidden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50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164" fontId="1" fillId="4" borderId="26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4" borderId="5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wrapText="1"/>
    </xf>
    <xf numFmtId="3" fontId="1" fillId="2" borderId="26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164" fontId="1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66" fontId="6" fillId="0" borderId="1" xfId="0" applyNumberFormat="1" applyFont="1" applyFill="1" applyBorder="1" applyAlignment="1" applyProtection="1">
      <protection hidden="1"/>
    </xf>
    <xf numFmtId="166" fontId="2" fillId="2" borderId="9" xfId="0" applyNumberFormat="1" applyFont="1" applyFill="1" applyBorder="1" applyAlignment="1">
      <alignment horizontal="right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4" fillId="2" borderId="7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1" fillId="2" borderId="10" xfId="0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56" xfId="0" applyFont="1" applyFill="1" applyBorder="1" applyAlignment="1">
      <alignment horizontal="left" vertical="top" wrapText="1"/>
    </xf>
    <xf numFmtId="0" fontId="20" fillId="0" borderId="38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166" fontId="6" fillId="0" borderId="26" xfId="0" applyNumberFormat="1" applyFont="1" applyFill="1" applyBorder="1" applyAlignment="1" applyProtection="1">
      <protection hidden="1"/>
    </xf>
    <xf numFmtId="0" fontId="1" fillId="2" borderId="1" xfId="0" applyFont="1" applyFill="1" applyBorder="1" applyAlignment="1">
      <alignment horizontal="center" vertical="top" wrapText="1"/>
    </xf>
    <xf numFmtId="168" fontId="6" fillId="0" borderId="1" xfId="0" applyNumberFormat="1" applyFont="1" applyFill="1" applyBorder="1" applyAlignment="1" applyProtection="1">
      <protection hidden="1"/>
    </xf>
    <xf numFmtId="168" fontId="6" fillId="0" borderId="8" xfId="0" applyNumberFormat="1" applyFont="1" applyFill="1" applyBorder="1" applyAlignment="1" applyProtection="1">
      <protection hidden="1"/>
    </xf>
    <xf numFmtId="168" fontId="6" fillId="0" borderId="3" xfId="0" applyNumberFormat="1" applyFont="1" applyFill="1" applyBorder="1" applyAlignment="1" applyProtection="1">
      <protection hidden="1"/>
    </xf>
    <xf numFmtId="168" fontId="6" fillId="0" borderId="5" xfId="0" applyNumberFormat="1" applyFont="1" applyFill="1" applyBorder="1" applyAlignment="1" applyProtection="1">
      <protection hidden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" fillId="0" borderId="54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" fontId="1" fillId="0" borderId="8" xfId="0" applyNumberFormat="1" applyFont="1" applyFill="1" applyBorder="1" applyAlignment="1">
      <alignment horizontal="center" vertical="center"/>
    </xf>
    <xf numFmtId="4" fontId="2" fillId="0" borderId="53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vertical="center" wrapText="1"/>
    </xf>
    <xf numFmtId="166" fontId="6" fillId="0" borderId="42" xfId="0" applyNumberFormat="1" applyFont="1" applyFill="1" applyBorder="1" applyAlignment="1" applyProtection="1">
      <protection hidden="1"/>
    </xf>
    <xf numFmtId="0" fontId="1" fillId="2" borderId="57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26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165" fontId="1" fillId="2" borderId="50" xfId="0" applyNumberFormat="1" applyFont="1" applyFill="1" applyBorder="1" applyAlignment="1">
      <alignment horizontal="center" vertical="center"/>
    </xf>
    <xf numFmtId="165" fontId="1" fillId="0" borderId="50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/>
    </xf>
    <xf numFmtId="49" fontId="1" fillId="2" borderId="50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left" wrapText="1"/>
    </xf>
    <xf numFmtId="165" fontId="1" fillId="0" borderId="37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169" fontId="2" fillId="0" borderId="22" xfId="0" applyNumberFormat="1" applyFont="1" applyFill="1" applyBorder="1" applyAlignment="1">
      <alignment horizontal="center"/>
    </xf>
    <xf numFmtId="49" fontId="1" fillId="2" borderId="42" xfId="0" applyNumberFormat="1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left" vertical="top" wrapText="1"/>
    </xf>
    <xf numFmtId="0" fontId="14" fillId="2" borderId="6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" fillId="0" borderId="54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Fill="1" applyBorder="1"/>
    <xf numFmtId="166" fontId="2" fillId="2" borderId="67" xfId="0" applyNumberFormat="1" applyFont="1" applyFill="1" applyBorder="1" applyAlignment="1">
      <alignment horizontal="right" vertical="center"/>
    </xf>
    <xf numFmtId="166" fontId="2" fillId="2" borderId="65" xfId="0" applyNumberFormat="1" applyFont="1" applyFill="1" applyBorder="1" applyAlignment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2" fillId="2" borderId="12" xfId="0" applyNumberFormat="1" applyFont="1" applyFill="1" applyBorder="1" applyAlignment="1">
      <alignment horizontal="right" vertical="center"/>
    </xf>
    <xf numFmtId="166" fontId="2" fillId="2" borderId="11" xfId="0" applyNumberFormat="1" applyFont="1" applyFill="1" applyBorder="1" applyAlignment="1">
      <alignment horizontal="right" vertical="center"/>
    </xf>
    <xf numFmtId="166" fontId="2" fillId="2" borderId="57" xfId="0" applyNumberFormat="1" applyFont="1" applyFill="1" applyBorder="1" applyAlignment="1">
      <alignment horizontal="right" vertical="center"/>
    </xf>
    <xf numFmtId="166" fontId="2" fillId="2" borderId="1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6" fillId="0" borderId="47" xfId="0" applyNumberFormat="1" applyFont="1" applyFill="1" applyBorder="1" applyAlignment="1" applyProtection="1">
      <protection hidden="1"/>
    </xf>
    <xf numFmtId="166" fontId="6" fillId="0" borderId="65" xfId="0" applyNumberFormat="1" applyFont="1" applyFill="1" applyBorder="1" applyAlignment="1" applyProtection="1">
      <protection hidden="1"/>
    </xf>
    <xf numFmtId="0" fontId="1" fillId="0" borderId="39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6" fillId="0" borderId="0" xfId="0" applyNumberFormat="1" applyFont="1"/>
    <xf numFmtId="2" fontId="6" fillId="3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9" fontId="2" fillId="2" borderId="12" xfId="0" applyNumberFormat="1" applyFont="1" applyFill="1" applyBorder="1" applyAlignment="1">
      <alignment horizontal="center" vertical="center" wrapText="1"/>
    </xf>
    <xf numFmtId="169" fontId="1" fillId="3" borderId="1" xfId="0" applyNumberFormat="1" applyFont="1" applyFill="1" applyBorder="1" applyAlignment="1">
      <alignment horizontal="center" vertical="center"/>
    </xf>
    <xf numFmtId="2" fontId="6" fillId="2" borderId="0" xfId="0" applyNumberFormat="1" applyFont="1" applyFill="1"/>
    <xf numFmtId="0" fontId="1" fillId="3" borderId="54" xfId="0" applyNumberFormat="1" applyFont="1" applyFill="1" applyBorder="1" applyAlignment="1">
      <alignment horizontal="center" vertical="center" wrapText="1"/>
    </xf>
    <xf numFmtId="0" fontId="1" fillId="3" borderId="19" xfId="0" applyNumberFormat="1" applyFont="1" applyFill="1" applyBorder="1" applyAlignment="1">
      <alignment horizontal="center" vertical="center" wrapText="1"/>
    </xf>
    <xf numFmtId="0" fontId="1" fillId="3" borderId="20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/>
    </xf>
    <xf numFmtId="165" fontId="1" fillId="6" borderId="26" xfId="0" applyNumberFormat="1" applyFont="1" applyFill="1" applyBorder="1" applyAlignment="1">
      <alignment horizontal="center" vertical="center"/>
    </xf>
    <xf numFmtId="4" fontId="1" fillId="6" borderId="2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0" fontId="1" fillId="3" borderId="19" xfId="0" applyNumberFormat="1" applyFont="1" applyFill="1" applyBorder="1" applyAlignment="1">
      <alignment horizontal="center" vertical="top" wrapText="1"/>
    </xf>
    <xf numFmtId="169" fontId="21" fillId="0" borderId="0" xfId="0" applyNumberFormat="1" applyFont="1"/>
    <xf numFmtId="169" fontId="1" fillId="0" borderId="0" xfId="0" applyNumberFormat="1" applyFont="1"/>
    <xf numFmtId="3" fontId="1" fillId="0" borderId="6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7" fontId="6" fillId="0" borderId="1" xfId="1" applyNumberFormat="1" applyFont="1" applyFill="1" applyBorder="1" applyAlignment="1" applyProtection="1">
      <alignment horizontal="center" vertical="center"/>
      <protection hidden="1"/>
    </xf>
    <xf numFmtId="165" fontId="1" fillId="0" borderId="7" xfId="0" applyNumberFormat="1" applyFont="1" applyFill="1" applyBorder="1" applyAlignment="1">
      <alignment horizontal="center" vertical="center"/>
    </xf>
    <xf numFmtId="165" fontId="1" fillId="3" borderId="8" xfId="0" applyNumberFormat="1" applyFont="1" applyFill="1" applyBorder="1" applyAlignment="1">
      <alignment horizontal="center" vertical="center"/>
    </xf>
    <xf numFmtId="165" fontId="1" fillId="0" borderId="43" xfId="0" applyNumberFormat="1" applyFont="1" applyFill="1" applyBorder="1" applyAlignment="1">
      <alignment horizontal="center" vertical="center"/>
    </xf>
    <xf numFmtId="165" fontId="1" fillId="0" borderId="52" xfId="0" applyNumberFormat="1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center" vertical="center"/>
    </xf>
    <xf numFmtId="3" fontId="21" fillId="2" borderId="3" xfId="0" applyNumberFormat="1" applyFont="1" applyFill="1" applyBorder="1" applyAlignment="1">
      <alignment horizontal="center" vertical="center"/>
    </xf>
    <xf numFmtId="3" fontId="21" fillId="0" borderId="60" xfId="0" applyNumberFormat="1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170" fontId="2" fillId="2" borderId="9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22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58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166" fontId="6" fillId="2" borderId="43" xfId="0" applyNumberFormat="1" applyFont="1" applyFill="1" applyBorder="1" applyAlignment="1" applyProtection="1">
      <protection hidden="1"/>
    </xf>
    <xf numFmtId="166" fontId="6" fillId="2" borderId="19" xfId="0" applyNumberFormat="1" applyFont="1" applyFill="1" applyBorder="1" applyAlignment="1" applyProtection="1">
      <protection hidden="1"/>
    </xf>
    <xf numFmtId="168" fontId="6" fillId="2" borderId="8" xfId="0" applyNumberFormat="1" applyFont="1" applyFill="1" applyBorder="1" applyAlignment="1" applyProtection="1">
      <protection hidden="1"/>
    </xf>
    <xf numFmtId="166" fontId="6" fillId="2" borderId="46" xfId="0" applyNumberFormat="1" applyFont="1" applyFill="1" applyBorder="1" applyAlignment="1" applyProtection="1">
      <protection hidden="1"/>
    </xf>
    <xf numFmtId="166" fontId="6" fillId="2" borderId="8" xfId="0" applyNumberFormat="1" applyFont="1" applyFill="1" applyBorder="1" applyAlignment="1" applyProtection="1">
      <protection hidden="1"/>
    </xf>
    <xf numFmtId="165" fontId="1" fillId="2" borderId="61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/>
    </xf>
    <xf numFmtId="168" fontId="0" fillId="2" borderId="0" xfId="0" applyNumberFormat="1" applyFill="1"/>
    <xf numFmtId="166" fontId="6" fillId="2" borderId="42" xfId="0" applyNumberFormat="1" applyFont="1" applyFill="1" applyBorder="1" applyAlignment="1" applyProtection="1">
      <protection hidden="1"/>
    </xf>
    <xf numFmtId="165" fontId="1" fillId="2" borderId="3" xfId="0" applyNumberFormat="1" applyFont="1" applyFill="1" applyBorder="1" applyAlignment="1">
      <alignment horizontal="center" vertical="center"/>
    </xf>
    <xf numFmtId="166" fontId="6" fillId="2" borderId="52" xfId="0" applyNumberFormat="1" applyFont="1" applyFill="1" applyBorder="1" applyAlignment="1" applyProtection="1">
      <protection hidden="1"/>
    </xf>
    <xf numFmtId="166" fontId="6" fillId="2" borderId="1" xfId="0" applyNumberFormat="1" applyFont="1" applyFill="1" applyBorder="1" applyAlignment="1" applyProtection="1">
      <protection hidden="1"/>
    </xf>
    <xf numFmtId="166" fontId="6" fillId="2" borderId="34" xfId="0" applyNumberFormat="1" applyFont="1" applyFill="1" applyBorder="1" applyAlignment="1" applyProtection="1">
      <protection hidden="1"/>
    </xf>
    <xf numFmtId="166" fontId="6" fillId="2" borderId="27" xfId="0" applyNumberFormat="1" applyFont="1" applyFill="1" applyBorder="1" applyAlignment="1" applyProtection="1">
      <protection hidden="1"/>
    </xf>
    <xf numFmtId="166" fontId="6" fillId="2" borderId="53" xfId="0" applyNumberFormat="1" applyFont="1" applyFill="1" applyBorder="1" applyAlignment="1" applyProtection="1">
      <protection hidden="1"/>
    </xf>
    <xf numFmtId="166" fontId="6" fillId="2" borderId="51" xfId="0" applyNumberFormat="1" applyFont="1" applyFill="1" applyBorder="1" applyAlignment="1" applyProtection="1">
      <protection hidden="1"/>
    </xf>
    <xf numFmtId="166" fontId="6" fillId="2" borderId="0" xfId="0" applyNumberFormat="1" applyFont="1" applyFill="1" applyBorder="1" applyAlignment="1" applyProtection="1">
      <protection hidden="1"/>
    </xf>
    <xf numFmtId="166" fontId="6" fillId="2" borderId="40" xfId="0" applyNumberFormat="1" applyFont="1" applyFill="1" applyBorder="1" applyAlignment="1" applyProtection="1">
      <protection hidden="1"/>
    </xf>
    <xf numFmtId="166" fontId="6" fillId="2" borderId="39" xfId="0" applyNumberFormat="1" applyFont="1" applyFill="1" applyBorder="1" applyAlignment="1" applyProtection="1">
      <protection hidden="1"/>
    </xf>
    <xf numFmtId="2" fontId="1" fillId="2" borderId="1" xfId="0" applyNumberFormat="1" applyFont="1" applyFill="1" applyBorder="1" applyAlignment="1">
      <alignment horizontal="center"/>
    </xf>
    <xf numFmtId="169" fontId="1" fillId="2" borderId="1" xfId="0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top" wrapText="1"/>
    </xf>
    <xf numFmtId="0" fontId="0" fillId="0" borderId="0" xfId="0" applyBorder="1"/>
    <xf numFmtId="164" fontId="1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/>
    <xf numFmtId="0" fontId="6" fillId="0" borderId="0" xfId="0" applyFont="1"/>
    <xf numFmtId="1" fontId="6" fillId="0" borderId="0" xfId="0" applyNumberFormat="1" applyFont="1"/>
    <xf numFmtId="3" fontId="21" fillId="6" borderId="3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6" fillId="0" borderId="50" xfId="0" applyNumberFormat="1" applyFont="1" applyFill="1" applyBorder="1" applyAlignment="1" applyProtection="1">
      <alignment horizontal="right" vertical="center"/>
      <protection hidden="1"/>
    </xf>
    <xf numFmtId="165" fontId="1" fillId="7" borderId="26" xfId="0" applyNumberFormat="1" applyFont="1" applyFill="1" applyBorder="1" applyAlignment="1">
      <alignment horizontal="center" vertical="center"/>
    </xf>
    <xf numFmtId="4" fontId="1" fillId="7" borderId="26" xfId="0" applyNumberFormat="1" applyFont="1" applyFill="1" applyBorder="1" applyAlignment="1">
      <alignment horizontal="center" vertical="center"/>
    </xf>
    <xf numFmtId="0" fontId="17" fillId="2" borderId="0" xfId="0" applyFont="1" applyFill="1"/>
    <xf numFmtId="169" fontId="6" fillId="2" borderId="0" xfId="0" applyNumberFormat="1" applyFont="1" applyFill="1"/>
    <xf numFmtId="4" fontId="9" fillId="5" borderId="4" xfId="0" applyNumberFormat="1" applyFont="1" applyFill="1" applyBorder="1" applyAlignment="1">
      <alignment horizontal="center" vertical="center"/>
    </xf>
    <xf numFmtId="4" fontId="9" fillId="5" borderId="9" xfId="0" applyNumberFormat="1" applyFont="1" applyFill="1" applyBorder="1" applyAlignment="1">
      <alignment horizontal="center" vertical="center"/>
    </xf>
    <xf numFmtId="4" fontId="2" fillId="0" borderId="53" xfId="0" applyNumberFormat="1" applyFont="1" applyFill="1" applyBorder="1" applyAlignment="1">
      <alignment horizontal="center" vertical="center"/>
    </xf>
    <xf numFmtId="4" fontId="6" fillId="0" borderId="43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right" vertical="center"/>
    </xf>
    <xf numFmtId="168" fontId="2" fillId="2" borderId="1" xfId="0" applyNumberFormat="1" applyFont="1" applyFill="1" applyBorder="1" applyAlignment="1">
      <alignment horizontal="right" vertical="center"/>
    </xf>
    <xf numFmtId="168" fontId="2" fillId="2" borderId="9" xfId="0" applyNumberFormat="1" applyFont="1" applyFill="1" applyBorder="1" applyAlignment="1">
      <alignment horizontal="center" vertical="center"/>
    </xf>
    <xf numFmtId="171" fontId="1" fillId="2" borderId="26" xfId="0" applyNumberFormat="1" applyFont="1" applyFill="1" applyBorder="1" applyAlignment="1">
      <alignment horizontal="center" vertical="center"/>
    </xf>
    <xf numFmtId="171" fontId="2" fillId="0" borderId="19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/>
    <xf numFmtId="171" fontId="1" fillId="0" borderId="0" xfId="0" applyNumberFormat="1" applyFont="1" applyFill="1" applyAlignment="1">
      <alignment horizontal="center" vertical="center"/>
    </xf>
    <xf numFmtId="164" fontId="1" fillId="2" borderId="42" xfId="0" applyNumberFormat="1" applyFont="1" applyFill="1" applyBorder="1" applyAlignment="1">
      <alignment horizontal="center" vertical="center"/>
    </xf>
    <xf numFmtId="164" fontId="1" fillId="0" borderId="4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6" fontId="23" fillId="2" borderId="1" xfId="0" applyNumberFormat="1" applyFont="1" applyFill="1" applyBorder="1" applyAlignment="1">
      <alignment horizontal="right" vertical="center"/>
    </xf>
    <xf numFmtId="168" fontId="2" fillId="2" borderId="11" xfId="0" applyNumberFormat="1" applyFont="1" applyFill="1" applyBorder="1" applyAlignment="1">
      <alignment horizontal="right" vertical="center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2" fillId="2" borderId="0" xfId="0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Fill="1" applyAlignment="1"/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 wrapText="1"/>
    </xf>
    <xf numFmtId="0" fontId="2" fillId="2" borderId="66" xfId="0" applyFont="1" applyFill="1" applyBorder="1" applyAlignment="1">
      <alignment horizontal="left" wrapText="1"/>
    </xf>
    <xf numFmtId="0" fontId="2" fillId="2" borderId="68" xfId="0" applyFont="1" applyFill="1" applyBorder="1" applyAlignment="1">
      <alignment horizontal="left" wrapText="1"/>
    </xf>
    <xf numFmtId="0" fontId="1" fillId="2" borderId="47" xfId="0" applyFont="1" applyFill="1" applyBorder="1" applyAlignment="1">
      <alignment horizontal="left"/>
    </xf>
    <xf numFmtId="0" fontId="1" fillId="2" borderId="66" xfId="0" applyFont="1" applyFill="1" applyBorder="1" applyAlignment="1">
      <alignment horizontal="left"/>
    </xf>
    <xf numFmtId="0" fontId="1" fillId="2" borderId="5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9" xfId="0" applyFont="1" applyFill="1" applyBorder="1" applyAlignment="1">
      <alignment horizontal="left" vertical="top" wrapText="1"/>
    </xf>
    <xf numFmtId="0" fontId="1" fillId="2" borderId="57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63" xfId="0" applyFont="1" applyFill="1" applyBorder="1" applyAlignment="1">
      <alignment horizontal="center" vertical="top" wrapText="1"/>
    </xf>
    <xf numFmtId="0" fontId="1" fillId="2" borderId="54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6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 wrapText="1" shrinkToFit="1"/>
    </xf>
    <xf numFmtId="0" fontId="7" fillId="2" borderId="0" xfId="0" applyFont="1" applyFill="1" applyAlignment="1">
      <alignment horizontal="left" vertical="center" wrapText="1" shrinkToFit="1"/>
    </xf>
    <xf numFmtId="0" fontId="1" fillId="2" borderId="23" xfId="0" applyFont="1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1" fillId="2" borderId="0" xfId="0" applyFont="1" applyFill="1" applyAlignment="1"/>
    <xf numFmtId="1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10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45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left" wrapText="1"/>
    </xf>
    <xf numFmtId="0" fontId="2" fillId="2" borderId="69" xfId="0" applyFont="1" applyFill="1" applyBorder="1" applyAlignment="1">
      <alignment horizontal="left" wrapText="1"/>
    </xf>
    <xf numFmtId="0" fontId="2" fillId="2" borderId="67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/>
    <xf numFmtId="0" fontId="1" fillId="0" borderId="19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14" fontId="1" fillId="0" borderId="0" xfId="0" applyNumberFormat="1" applyFont="1" applyFill="1" applyAlignment="1"/>
    <xf numFmtId="0" fontId="0" fillId="0" borderId="0" xfId="0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wrapText="1"/>
    </xf>
    <xf numFmtId="0" fontId="2" fillId="2" borderId="52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8" fillId="5" borderId="12" xfId="0" applyFont="1" applyFill="1" applyBorder="1" applyAlignment="1">
      <alignment wrapText="1"/>
    </xf>
    <xf numFmtId="0" fontId="8" fillId="5" borderId="19" xfId="0" applyFont="1" applyFill="1" applyBorder="1" applyAlignment="1">
      <alignment wrapText="1"/>
    </xf>
    <xf numFmtId="0" fontId="1" fillId="0" borderId="54" xfId="0" applyFont="1" applyFill="1" applyBorder="1" applyAlignment="1">
      <alignment wrapText="1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2" borderId="42" xfId="0" applyFont="1" applyFill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5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2" fillId="2" borderId="0" xfId="0" applyFont="1" applyFill="1" applyBorder="1" applyAlignment="1">
      <alignment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5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" fillId="2" borderId="47" xfId="0" applyFont="1" applyFill="1" applyBorder="1" applyAlignment="1">
      <alignment horizontal="left" wrapText="1"/>
    </xf>
    <xf numFmtId="0" fontId="1" fillId="2" borderId="66" xfId="0" applyFont="1" applyFill="1" applyBorder="1" applyAlignment="1">
      <alignment horizontal="left" wrapText="1"/>
    </xf>
    <xf numFmtId="0" fontId="1" fillId="2" borderId="52" xfId="0" applyFont="1" applyFill="1" applyBorder="1" applyAlignment="1">
      <alignment horizontal="left" wrapText="1"/>
    </xf>
    <xf numFmtId="0" fontId="0" fillId="0" borderId="17" xfId="0" applyBorder="1" applyAlignment="1">
      <alignment horizontal="center" vertical="top" wrapText="1"/>
    </xf>
    <xf numFmtId="0" fontId="0" fillId="0" borderId="44" xfId="0" applyBorder="1" applyAlignment="1">
      <alignment horizontal="left" vertical="top" wrapText="1"/>
    </xf>
    <xf numFmtId="0" fontId="1" fillId="3" borderId="13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17" fillId="0" borderId="0" xfId="0" applyFont="1" applyFill="1" applyAlignment="1"/>
    <xf numFmtId="0" fontId="1" fillId="3" borderId="12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wrapText="1"/>
    </xf>
    <xf numFmtId="0" fontId="2" fillId="2" borderId="44" xfId="0" applyFont="1" applyFill="1" applyBorder="1" applyAlignment="1">
      <alignment horizontal="left" wrapText="1"/>
    </xf>
    <xf numFmtId="0" fontId="2" fillId="2" borderId="70" xfId="0" applyFont="1" applyFill="1" applyBorder="1" applyAlignment="1">
      <alignment horizontal="left" wrapText="1"/>
    </xf>
    <xf numFmtId="49" fontId="1" fillId="3" borderId="47" xfId="0" applyNumberFormat="1" applyFont="1" applyFill="1" applyBorder="1" applyAlignment="1">
      <alignment horizontal="left"/>
    </xf>
    <xf numFmtId="49" fontId="1" fillId="3" borderId="66" xfId="0" applyNumberFormat="1" applyFont="1" applyFill="1" applyBorder="1" applyAlignment="1">
      <alignment horizontal="left"/>
    </xf>
    <xf numFmtId="49" fontId="1" fillId="3" borderId="52" xfId="0" applyNumberFormat="1" applyFont="1" applyFill="1" applyBorder="1" applyAlignment="1">
      <alignment horizontal="left"/>
    </xf>
    <xf numFmtId="0" fontId="2" fillId="0" borderId="58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6" fontId="23" fillId="2" borderId="1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49" fontId="1" fillId="7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left" wrapText="1"/>
    </xf>
    <xf numFmtId="0" fontId="1" fillId="7" borderId="26" xfId="0" applyFont="1" applyFill="1" applyBorder="1" applyAlignment="1">
      <alignment horizontal="center" vertical="center" wrapText="1"/>
    </xf>
    <xf numFmtId="3" fontId="21" fillId="7" borderId="26" xfId="0" applyNumberFormat="1" applyFont="1" applyFill="1" applyBorder="1" applyAlignment="1">
      <alignment horizontal="center" vertical="center"/>
    </xf>
    <xf numFmtId="1" fontId="1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24"/>
  <sheetViews>
    <sheetView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4.28515625" customWidth="1"/>
    <col min="2" max="2" width="6.7109375" customWidth="1"/>
    <col min="3" max="3" width="13.28515625" customWidth="1"/>
    <col min="4" max="4" width="32.28515625" customWidth="1"/>
    <col min="5" max="5" width="17.5703125" customWidth="1"/>
    <col min="6" max="6" width="19.42578125" customWidth="1"/>
    <col min="7" max="7" width="16.42578125" customWidth="1"/>
    <col min="8" max="8" width="25.140625" customWidth="1"/>
    <col min="9" max="9" width="14" customWidth="1"/>
  </cols>
  <sheetData>
    <row r="2" spans="1:12" x14ac:dyDescent="0.25">
      <c r="A2" s="385" t="s">
        <v>211</v>
      </c>
      <c r="B2" s="386"/>
      <c r="C2" s="386"/>
      <c r="D2" s="386"/>
      <c r="E2" s="386"/>
      <c r="F2" s="386"/>
      <c r="G2" s="386"/>
      <c r="H2" s="386"/>
      <c r="I2" s="386"/>
    </row>
    <row r="3" spans="1:12" ht="15.75" x14ac:dyDescent="0.25">
      <c r="A3" s="22"/>
      <c r="B3" s="22"/>
      <c r="C3" s="22"/>
      <c r="D3" s="222"/>
      <c r="E3" s="387"/>
      <c r="F3" s="387"/>
      <c r="G3" s="15"/>
      <c r="H3" s="15"/>
      <c r="I3" s="15"/>
    </row>
    <row r="4" spans="1:12" ht="31.5" x14ac:dyDescent="0.25">
      <c r="A4" s="307" t="s">
        <v>0</v>
      </c>
      <c r="B4" s="307" t="s">
        <v>107</v>
      </c>
      <c r="C4" s="307" t="s">
        <v>1</v>
      </c>
      <c r="D4" s="307" t="s">
        <v>2</v>
      </c>
      <c r="E4" s="388" t="s">
        <v>212</v>
      </c>
      <c r="F4" s="388"/>
      <c r="G4" s="269"/>
      <c r="H4" s="269"/>
      <c r="I4" s="389" t="s">
        <v>128</v>
      </c>
    </row>
    <row r="5" spans="1:12" ht="31.9" customHeight="1" x14ac:dyDescent="0.25">
      <c r="A5" s="307"/>
      <c r="B5" s="307"/>
      <c r="C5" s="307"/>
      <c r="D5" s="307"/>
      <c r="E5" s="307" t="s">
        <v>144</v>
      </c>
      <c r="F5" s="269" t="s">
        <v>145</v>
      </c>
      <c r="G5" s="269" t="s">
        <v>79</v>
      </c>
      <c r="H5" s="269" t="s">
        <v>72</v>
      </c>
      <c r="I5" s="390"/>
    </row>
    <row r="6" spans="1:12" ht="33" customHeight="1" x14ac:dyDescent="0.25">
      <c r="A6" s="307"/>
      <c r="B6" s="307"/>
      <c r="C6" s="307"/>
      <c r="D6" s="307"/>
      <c r="E6" s="307" t="s">
        <v>146</v>
      </c>
      <c r="F6" s="269" t="s">
        <v>147</v>
      </c>
      <c r="G6" s="269" t="s">
        <v>148</v>
      </c>
      <c r="H6" s="348" t="s">
        <v>149</v>
      </c>
      <c r="I6" s="390"/>
      <c r="K6" s="349"/>
      <c r="L6" s="349"/>
    </row>
    <row r="7" spans="1:12" ht="31.15" customHeight="1" x14ac:dyDescent="0.25">
      <c r="A7" s="176" t="s">
        <v>8</v>
      </c>
      <c r="B7" s="176" t="s">
        <v>9</v>
      </c>
      <c r="C7" s="176" t="s">
        <v>10</v>
      </c>
      <c r="D7" s="180" t="s">
        <v>11</v>
      </c>
      <c r="E7" s="168">
        <v>70900</v>
      </c>
      <c r="F7" s="168">
        <v>5411500</v>
      </c>
      <c r="G7" s="505">
        <f>(E7/F7*100)</f>
        <v>1.3101727801903353</v>
      </c>
      <c r="H7" s="505">
        <f>IF(G7&gt;15,0,1-(G7/100))</f>
        <v>0.98689827219809667</v>
      </c>
      <c r="I7" s="506">
        <f>H7*10</f>
        <v>9.8689827219809665</v>
      </c>
      <c r="K7" s="350"/>
      <c r="L7" s="349"/>
    </row>
    <row r="8" spans="1:12" ht="25.5" x14ac:dyDescent="0.25">
      <c r="A8" s="176" t="s">
        <v>15</v>
      </c>
      <c r="B8" s="176" t="s">
        <v>12</v>
      </c>
      <c r="C8" s="176" t="s">
        <v>13</v>
      </c>
      <c r="D8" s="180" t="s">
        <v>14</v>
      </c>
      <c r="E8" s="168">
        <v>45190600</v>
      </c>
      <c r="F8" s="168">
        <v>1830814677</v>
      </c>
      <c r="G8" s="505">
        <f t="shared" ref="G8:G18" si="0">(E8/F8*100)</f>
        <v>2.4683328448103765</v>
      </c>
      <c r="H8" s="505">
        <f t="shared" ref="H8:H18" si="1">IF(G8&gt;15,0,1-(G8/100))</f>
        <v>0.97531667155189627</v>
      </c>
      <c r="I8" s="506">
        <f t="shared" ref="I8:I18" si="2">H8*10</f>
        <v>9.7531667155189634</v>
      </c>
      <c r="K8" s="350"/>
      <c r="L8" s="349"/>
    </row>
    <row r="9" spans="1:12" ht="15.75" x14ac:dyDescent="0.25">
      <c r="A9" s="176" t="s">
        <v>16</v>
      </c>
      <c r="B9" s="176" t="s">
        <v>22</v>
      </c>
      <c r="C9" s="176" t="s">
        <v>23</v>
      </c>
      <c r="D9" s="180" t="s">
        <v>24</v>
      </c>
      <c r="E9" s="168">
        <v>5000</v>
      </c>
      <c r="F9" s="168">
        <v>29175100</v>
      </c>
      <c r="G9" s="505">
        <f t="shared" si="0"/>
        <v>1.7137901840953415E-2</v>
      </c>
      <c r="H9" s="505">
        <f t="shared" si="1"/>
        <v>0.99982862098159042</v>
      </c>
      <c r="I9" s="506">
        <f t="shared" si="2"/>
        <v>9.9982862098159035</v>
      </c>
      <c r="K9" s="350"/>
      <c r="L9" s="349"/>
    </row>
    <row r="10" spans="1:12" ht="30" customHeight="1" x14ac:dyDescent="0.25">
      <c r="A10" s="176" t="s">
        <v>17</v>
      </c>
      <c r="B10" s="176" t="s">
        <v>25</v>
      </c>
      <c r="C10" s="176" t="s">
        <v>26</v>
      </c>
      <c r="D10" s="180" t="s">
        <v>27</v>
      </c>
      <c r="E10" s="168">
        <v>700</v>
      </c>
      <c r="F10" s="168">
        <v>4674800</v>
      </c>
      <c r="G10" s="505">
        <f t="shared" si="0"/>
        <v>1.4973902626850345E-2</v>
      </c>
      <c r="H10" s="505">
        <f t="shared" si="1"/>
        <v>0.99985026097373153</v>
      </c>
      <c r="I10" s="506">
        <f t="shared" si="2"/>
        <v>9.9985026097373151</v>
      </c>
      <c r="K10" s="350"/>
      <c r="L10" s="349"/>
    </row>
    <row r="11" spans="1:12" ht="40.15" customHeight="1" x14ac:dyDescent="0.25">
      <c r="A11" s="176" t="s">
        <v>18</v>
      </c>
      <c r="B11" s="176" t="s">
        <v>28</v>
      </c>
      <c r="C11" s="176" t="s">
        <v>29</v>
      </c>
      <c r="D11" s="180" t="s">
        <v>30</v>
      </c>
      <c r="E11" s="168">
        <v>119200</v>
      </c>
      <c r="F11" s="168">
        <v>7755700</v>
      </c>
      <c r="G11" s="505">
        <f t="shared" si="0"/>
        <v>1.5369341258687159</v>
      </c>
      <c r="H11" s="505">
        <f t="shared" si="1"/>
        <v>0.98463065874131284</v>
      </c>
      <c r="I11" s="506">
        <f t="shared" si="2"/>
        <v>9.8463065874131281</v>
      </c>
      <c r="K11" s="350"/>
      <c r="L11" s="349"/>
    </row>
    <row r="12" spans="1:12" ht="28.15" customHeight="1" x14ac:dyDescent="0.25">
      <c r="A12" s="176" t="s">
        <v>19</v>
      </c>
      <c r="B12" s="176" t="s">
        <v>31</v>
      </c>
      <c r="C12" s="176" t="s">
        <v>32</v>
      </c>
      <c r="D12" s="180" t="s">
        <v>33</v>
      </c>
      <c r="E12" s="168">
        <v>81000</v>
      </c>
      <c r="F12" s="168">
        <v>5824800</v>
      </c>
      <c r="G12" s="505">
        <f>(E12/F12*100)</f>
        <v>1.3906056860321385</v>
      </c>
      <c r="H12" s="505">
        <f t="shared" si="1"/>
        <v>0.98609394313967857</v>
      </c>
      <c r="I12" s="506">
        <f t="shared" si="2"/>
        <v>9.8609394313967851</v>
      </c>
      <c r="K12" s="350"/>
      <c r="L12" s="349"/>
    </row>
    <row r="13" spans="1:12" ht="15.75" x14ac:dyDescent="0.25">
      <c r="A13" s="176" t="s">
        <v>20</v>
      </c>
      <c r="B13" s="176" t="s">
        <v>34</v>
      </c>
      <c r="C13" s="176" t="s">
        <v>35</v>
      </c>
      <c r="D13" s="180" t="s">
        <v>36</v>
      </c>
      <c r="E13" s="168">
        <v>65468100</v>
      </c>
      <c r="F13" s="168">
        <v>218920700</v>
      </c>
      <c r="G13" s="505">
        <f t="shared" si="0"/>
        <v>29.904938180811591</v>
      </c>
      <c r="H13" s="505">
        <f t="shared" si="1"/>
        <v>0</v>
      </c>
      <c r="I13" s="506">
        <f t="shared" si="2"/>
        <v>0</v>
      </c>
      <c r="K13" s="350"/>
      <c r="L13" s="349"/>
    </row>
    <row r="14" spans="1:12" ht="16.899999999999999" customHeight="1" x14ac:dyDescent="0.25">
      <c r="A14" s="176" t="s">
        <v>21</v>
      </c>
      <c r="B14" s="176" t="s">
        <v>40</v>
      </c>
      <c r="C14" s="176" t="s">
        <v>38</v>
      </c>
      <c r="D14" s="180" t="s">
        <v>39</v>
      </c>
      <c r="E14" s="168">
        <v>290867812.99000001</v>
      </c>
      <c r="F14" s="168">
        <v>2631316800</v>
      </c>
      <c r="G14" s="505">
        <f t="shared" si="0"/>
        <v>11.054078056659693</v>
      </c>
      <c r="H14" s="505">
        <f t="shared" si="1"/>
        <v>0.88945921943340311</v>
      </c>
      <c r="I14" s="506">
        <f t="shared" si="2"/>
        <v>8.8945921943340309</v>
      </c>
      <c r="K14" s="350"/>
      <c r="L14" s="349"/>
    </row>
    <row r="15" spans="1:12" ht="15.75" x14ac:dyDescent="0.25">
      <c r="A15" s="182">
        <v>9</v>
      </c>
      <c r="B15" s="176" t="s">
        <v>41</v>
      </c>
      <c r="C15" s="176" t="s">
        <v>42</v>
      </c>
      <c r="D15" s="180" t="s">
        <v>43</v>
      </c>
      <c r="E15" s="168">
        <v>4918900</v>
      </c>
      <c r="F15" s="168">
        <v>145203500</v>
      </c>
      <c r="G15" s="505">
        <f t="shared" si="0"/>
        <v>3.3875905195122709</v>
      </c>
      <c r="H15" s="505">
        <f t="shared" si="1"/>
        <v>0.96612409480487726</v>
      </c>
      <c r="I15" s="506">
        <f t="shared" si="2"/>
        <v>9.6612409480487731</v>
      </c>
      <c r="K15" s="350"/>
      <c r="L15" s="349"/>
    </row>
    <row r="16" spans="1:12" ht="15.75" x14ac:dyDescent="0.25">
      <c r="A16" s="182">
        <v>10</v>
      </c>
      <c r="B16" s="176" t="s">
        <v>44</v>
      </c>
      <c r="C16" s="176" t="s">
        <v>45</v>
      </c>
      <c r="D16" s="180" t="s">
        <v>46</v>
      </c>
      <c r="E16" s="168"/>
      <c r="F16" s="168">
        <v>110966500</v>
      </c>
      <c r="G16" s="505">
        <f t="shared" si="0"/>
        <v>0</v>
      </c>
      <c r="H16" s="505">
        <f t="shared" si="1"/>
        <v>1</v>
      </c>
      <c r="I16" s="506">
        <f t="shared" si="2"/>
        <v>10</v>
      </c>
      <c r="K16" s="350"/>
      <c r="L16" s="349"/>
    </row>
    <row r="17" spans="1:12" ht="18" customHeight="1" x14ac:dyDescent="0.25">
      <c r="A17" s="182">
        <v>11</v>
      </c>
      <c r="B17" s="176" t="s">
        <v>47</v>
      </c>
      <c r="C17" s="176" t="s">
        <v>48</v>
      </c>
      <c r="D17" s="180" t="s">
        <v>49</v>
      </c>
      <c r="E17" s="168">
        <v>413800</v>
      </c>
      <c r="F17" s="168">
        <v>18279800</v>
      </c>
      <c r="G17" s="505">
        <f t="shared" si="0"/>
        <v>2.2637009157649426</v>
      </c>
      <c r="H17" s="505">
        <f t="shared" si="1"/>
        <v>0.97736299084235057</v>
      </c>
      <c r="I17" s="506">
        <f t="shared" si="2"/>
        <v>9.773629908423505</v>
      </c>
      <c r="K17" s="350"/>
      <c r="L17" s="349"/>
    </row>
    <row r="18" spans="1:12" ht="32.450000000000003" customHeight="1" x14ac:dyDescent="0.25">
      <c r="A18" s="176" t="s">
        <v>37</v>
      </c>
      <c r="B18" s="176" t="s">
        <v>50</v>
      </c>
      <c r="C18" s="176" t="s">
        <v>51</v>
      </c>
      <c r="D18" s="180" t="s">
        <v>52</v>
      </c>
      <c r="E18" s="168">
        <v>776100</v>
      </c>
      <c r="F18" s="168">
        <v>113917200</v>
      </c>
      <c r="G18" s="505">
        <f t="shared" si="0"/>
        <v>0.68128430122931394</v>
      </c>
      <c r="H18" s="505">
        <f t="shared" si="1"/>
        <v>0.99318715698770688</v>
      </c>
      <c r="I18" s="506">
        <f t="shared" si="2"/>
        <v>9.9318715698770692</v>
      </c>
      <c r="K18" s="350"/>
      <c r="L18" s="349"/>
    </row>
    <row r="19" spans="1:12" ht="15.75" x14ac:dyDescent="0.25">
      <c r="A19" s="392" t="s">
        <v>58</v>
      </c>
      <c r="B19" s="392"/>
      <c r="C19" s="392"/>
      <c r="D19" s="392"/>
      <c r="E19" s="380">
        <f>E7+E8+E9+E10+E11+E12+E13+E14+E15+E16+E17+E18</f>
        <v>407912112.99000001</v>
      </c>
      <c r="F19" s="380">
        <f t="shared" ref="F19:I19" si="3">F7+F8+F9+F10+F11+F12+F13+F14+F15+F16+F17+F18</f>
        <v>5122261077</v>
      </c>
      <c r="G19" s="507">
        <f t="shared" si="3"/>
        <v>54.029749215347181</v>
      </c>
      <c r="H19" s="507">
        <f t="shared" si="3"/>
        <v>10.758751889654643</v>
      </c>
      <c r="I19" s="507">
        <f t="shared" si="3"/>
        <v>107.58751889654643</v>
      </c>
      <c r="K19" s="349"/>
      <c r="L19" s="349"/>
    </row>
    <row r="20" spans="1:12" ht="15.75" x14ac:dyDescent="0.25">
      <c r="A20" s="393" t="s">
        <v>184</v>
      </c>
      <c r="B20" s="393"/>
      <c r="C20" s="393"/>
      <c r="D20" s="393"/>
      <c r="E20" s="253"/>
      <c r="F20" s="254"/>
      <c r="G20" s="506">
        <f>G19/12</f>
        <v>4.502479101278932</v>
      </c>
      <c r="H20" s="506">
        <f t="shared" ref="H20:I20" si="4">H19/12</f>
        <v>0.89656265747122033</v>
      </c>
      <c r="I20" s="506">
        <f t="shared" si="4"/>
        <v>8.9656265747122017</v>
      </c>
      <c r="K20" s="349"/>
      <c r="L20" s="349"/>
    </row>
    <row r="21" spans="1:12" ht="15.75" x14ac:dyDescent="0.25">
      <c r="A21" s="13"/>
      <c r="B21" s="13"/>
      <c r="C21" s="13"/>
      <c r="D21" s="13"/>
      <c r="E21" s="14"/>
      <c r="F21" s="15"/>
      <c r="G21" s="16"/>
      <c r="H21" s="16"/>
      <c r="I21" s="251"/>
      <c r="K21" s="349"/>
      <c r="L21" s="349"/>
    </row>
    <row r="22" spans="1:12" ht="15.75" x14ac:dyDescent="0.25">
      <c r="A22" s="13"/>
      <c r="B22" s="13"/>
      <c r="C22" s="13"/>
      <c r="D22" s="13"/>
      <c r="E22" s="37"/>
      <c r="F22" s="15"/>
      <c r="G22" s="15"/>
      <c r="H22" s="15"/>
      <c r="I22" s="15"/>
    </row>
    <row r="23" spans="1:12" ht="15.75" x14ac:dyDescent="0.25">
      <c r="A23" s="391" t="s">
        <v>196</v>
      </c>
      <c r="B23" s="391"/>
      <c r="C23" s="391"/>
      <c r="D23" s="391"/>
      <c r="E23" s="391"/>
      <c r="F23" s="391"/>
      <c r="G23" s="391"/>
      <c r="H23" s="391"/>
      <c r="I23" s="391"/>
    </row>
    <row r="24" spans="1:12" ht="15.75" x14ac:dyDescent="0.25">
      <c r="A24" s="382"/>
      <c r="B24" s="383"/>
      <c r="C24" s="384"/>
      <c r="D24" s="15"/>
      <c r="E24" s="15"/>
      <c r="F24" s="15"/>
      <c r="G24" s="15"/>
      <c r="H24" s="15"/>
      <c r="I24" s="15"/>
    </row>
  </sheetData>
  <mergeCells count="8">
    <mergeCell ref="A24:C24"/>
    <mergeCell ref="A2:I2"/>
    <mergeCell ref="E3:F3"/>
    <mergeCell ref="E4:F4"/>
    <mergeCell ref="I4:I6"/>
    <mergeCell ref="A23:I23"/>
    <mergeCell ref="A19:D19"/>
    <mergeCell ref="A20:D20"/>
  </mergeCells>
  <pageMargins left="0.7" right="0.7" top="0.75" bottom="0.75" header="0.3" footer="0.3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3"/>
  <sheetViews>
    <sheetView view="pageBreakPreview" zoomScale="60" zoomScaleNormal="86" workbookViewId="0">
      <selection activeCell="F21" sqref="F21"/>
    </sheetView>
  </sheetViews>
  <sheetFormatPr defaultColWidth="9.140625" defaultRowHeight="15.75" x14ac:dyDescent="0.25"/>
  <cols>
    <col min="1" max="1" width="3.85546875" style="22" customWidth="1"/>
    <col min="2" max="2" width="5.28515625" style="22" customWidth="1"/>
    <col min="3" max="3" width="14" style="22" customWidth="1"/>
    <col min="4" max="4" width="62.42578125" style="22" customWidth="1"/>
    <col min="5" max="5" width="19.5703125" style="22" customWidth="1"/>
    <col min="6" max="6" width="16.28515625" style="15" customWidth="1"/>
    <col min="7" max="7" width="21" style="15" customWidth="1"/>
    <col min="8" max="8" width="12.140625" style="15" customWidth="1"/>
    <col min="9" max="16384" width="9.140625" style="22"/>
  </cols>
  <sheetData>
    <row r="1" spans="1:8" ht="48.75" customHeight="1" x14ac:dyDescent="0.25">
      <c r="A1" s="470" t="s">
        <v>84</v>
      </c>
      <c r="B1" s="471"/>
      <c r="C1" s="471"/>
      <c r="D1" s="471"/>
      <c r="E1" s="471"/>
      <c r="F1" s="471"/>
      <c r="G1" s="471"/>
      <c r="H1" s="471"/>
    </row>
    <row r="2" spans="1:8" ht="16.5" thickBot="1" x14ac:dyDescent="0.3">
      <c r="D2" s="129" t="s">
        <v>75</v>
      </c>
      <c r="E2" s="130" t="s">
        <v>206</v>
      </c>
    </row>
    <row r="3" spans="1:8" ht="50.25" customHeight="1" x14ac:dyDescent="0.25">
      <c r="A3" s="75" t="s">
        <v>0</v>
      </c>
      <c r="B3" s="76"/>
      <c r="C3" s="76" t="s">
        <v>1</v>
      </c>
      <c r="D3" s="76" t="s">
        <v>2</v>
      </c>
      <c r="E3" s="465" t="s">
        <v>60</v>
      </c>
      <c r="F3" s="466"/>
      <c r="G3" s="77" t="s">
        <v>63</v>
      </c>
      <c r="H3" s="467" t="s">
        <v>57</v>
      </c>
    </row>
    <row r="4" spans="1:8" ht="50.25" customHeight="1" x14ac:dyDescent="0.25">
      <c r="A4" s="78"/>
      <c r="B4" s="74"/>
      <c r="C4" s="74"/>
      <c r="D4" s="74"/>
      <c r="E4" s="74" t="s">
        <v>61</v>
      </c>
      <c r="F4" s="72" t="s">
        <v>79</v>
      </c>
      <c r="G4" s="72" t="s">
        <v>71</v>
      </c>
      <c r="H4" s="468"/>
    </row>
    <row r="5" spans="1:8" ht="48.75" customHeight="1" thickBot="1" x14ac:dyDescent="0.3">
      <c r="A5" s="148"/>
      <c r="B5" s="149"/>
      <c r="C5" s="149"/>
      <c r="D5" s="149"/>
      <c r="E5" s="149"/>
      <c r="F5" s="150" t="s">
        <v>62</v>
      </c>
      <c r="G5" s="151" t="s">
        <v>64</v>
      </c>
      <c r="H5" s="469"/>
    </row>
    <row r="6" spans="1:8" x14ac:dyDescent="0.25">
      <c r="A6" s="142" t="s">
        <v>8</v>
      </c>
      <c r="B6" s="143" t="s">
        <v>9</v>
      </c>
      <c r="C6" s="143" t="s">
        <v>10</v>
      </c>
      <c r="D6" s="144" t="s">
        <v>11</v>
      </c>
      <c r="E6" s="145">
        <v>0</v>
      </c>
      <c r="F6" s="146">
        <v>0</v>
      </c>
      <c r="G6" s="152">
        <f>IF(F6&lt;10,(1-(F6/10)),0)</f>
        <v>1</v>
      </c>
      <c r="H6" s="147">
        <f>G6*5</f>
        <v>5</v>
      </c>
    </row>
    <row r="7" spans="1:8" x14ac:dyDescent="0.25">
      <c r="A7" s="29" t="s">
        <v>15</v>
      </c>
      <c r="B7" s="30" t="s">
        <v>12</v>
      </c>
      <c r="C7" s="30" t="s">
        <v>13</v>
      </c>
      <c r="D7" s="31" t="s">
        <v>14</v>
      </c>
      <c r="E7" s="1">
        <v>0</v>
      </c>
      <c r="F7" s="79">
        <v>0</v>
      </c>
      <c r="G7" s="141">
        <f t="shared" ref="G7:G17" si="0">IF(F7&lt;10,(1-(F7/10)),0)</f>
        <v>1</v>
      </c>
      <c r="H7" s="9">
        <f t="shared" ref="H7:H17" si="1">G7*5</f>
        <v>5</v>
      </c>
    </row>
    <row r="8" spans="1:8" x14ac:dyDescent="0.25">
      <c r="A8" s="29" t="s">
        <v>16</v>
      </c>
      <c r="B8" s="30" t="s">
        <v>22</v>
      </c>
      <c r="C8" s="30" t="s">
        <v>23</v>
      </c>
      <c r="D8" s="31" t="s">
        <v>24</v>
      </c>
      <c r="E8" s="1">
        <v>0</v>
      </c>
      <c r="F8" s="79">
        <v>0</v>
      </c>
      <c r="G8" s="141">
        <f t="shared" si="0"/>
        <v>1</v>
      </c>
      <c r="H8" s="9">
        <f t="shared" si="1"/>
        <v>5</v>
      </c>
    </row>
    <row r="9" spans="1:8" ht="18.75" customHeight="1" x14ac:dyDescent="0.25">
      <c r="A9" s="29" t="s">
        <v>17</v>
      </c>
      <c r="B9" s="30" t="s">
        <v>25</v>
      </c>
      <c r="C9" s="30" t="s">
        <v>26</v>
      </c>
      <c r="D9" s="31" t="s">
        <v>27</v>
      </c>
      <c r="E9" s="1">
        <v>0</v>
      </c>
      <c r="F9" s="79">
        <v>0</v>
      </c>
      <c r="G9" s="141">
        <f t="shared" si="0"/>
        <v>1</v>
      </c>
      <c r="H9" s="9">
        <f t="shared" si="1"/>
        <v>5</v>
      </c>
    </row>
    <row r="10" spans="1:8" ht="31.5" x14ac:dyDescent="0.25">
      <c r="A10" s="29" t="s">
        <v>18</v>
      </c>
      <c r="B10" s="30" t="s">
        <v>28</v>
      </c>
      <c r="C10" s="30" t="s">
        <v>29</v>
      </c>
      <c r="D10" s="31" t="s">
        <v>30</v>
      </c>
      <c r="E10" s="1">
        <v>0</v>
      </c>
      <c r="F10" s="79">
        <v>0</v>
      </c>
      <c r="G10" s="141">
        <f t="shared" si="0"/>
        <v>1</v>
      </c>
      <c r="H10" s="9">
        <f t="shared" si="1"/>
        <v>5</v>
      </c>
    </row>
    <row r="11" spans="1:8" ht="18" customHeight="1" x14ac:dyDescent="0.25">
      <c r="A11" s="29" t="s">
        <v>19</v>
      </c>
      <c r="B11" s="30" t="s">
        <v>31</v>
      </c>
      <c r="C11" s="30" t="s">
        <v>32</v>
      </c>
      <c r="D11" s="31" t="s">
        <v>33</v>
      </c>
      <c r="E11" s="1">
        <v>0</v>
      </c>
      <c r="F11" s="79">
        <v>0</v>
      </c>
      <c r="G11" s="141">
        <f t="shared" si="0"/>
        <v>1</v>
      </c>
      <c r="H11" s="9">
        <f t="shared" si="1"/>
        <v>5</v>
      </c>
    </row>
    <row r="12" spans="1:8" x14ac:dyDescent="0.25">
      <c r="A12" s="29" t="s">
        <v>20</v>
      </c>
      <c r="B12" s="30" t="s">
        <v>34</v>
      </c>
      <c r="C12" s="30" t="s">
        <v>35</v>
      </c>
      <c r="D12" s="31" t="s">
        <v>36</v>
      </c>
      <c r="E12" s="1">
        <v>0</v>
      </c>
      <c r="F12" s="79">
        <v>0</v>
      </c>
      <c r="G12" s="141">
        <f t="shared" si="0"/>
        <v>1</v>
      </c>
      <c r="H12" s="9">
        <f t="shared" si="1"/>
        <v>5</v>
      </c>
    </row>
    <row r="13" spans="1:8" x14ac:dyDescent="0.25">
      <c r="A13" s="29" t="s">
        <v>21</v>
      </c>
      <c r="B13" s="30" t="s">
        <v>40</v>
      </c>
      <c r="C13" s="30" t="s">
        <v>38</v>
      </c>
      <c r="D13" s="31" t="s">
        <v>39</v>
      </c>
      <c r="E13" s="1">
        <v>0</v>
      </c>
      <c r="F13" s="79">
        <v>0</v>
      </c>
      <c r="G13" s="141">
        <f t="shared" si="0"/>
        <v>1</v>
      </c>
      <c r="H13" s="9">
        <f t="shared" si="1"/>
        <v>5</v>
      </c>
    </row>
    <row r="14" spans="1:8" x14ac:dyDescent="0.25">
      <c r="A14" s="32">
        <v>9</v>
      </c>
      <c r="B14" s="30" t="s">
        <v>41</v>
      </c>
      <c r="C14" s="30" t="s">
        <v>42</v>
      </c>
      <c r="D14" s="31" t="s">
        <v>43</v>
      </c>
      <c r="E14" s="1">
        <v>0</v>
      </c>
      <c r="F14" s="79">
        <v>0</v>
      </c>
      <c r="G14" s="141">
        <f t="shared" si="0"/>
        <v>1</v>
      </c>
      <c r="H14" s="9">
        <f t="shared" si="1"/>
        <v>5</v>
      </c>
    </row>
    <row r="15" spans="1:8" x14ac:dyDescent="0.25">
      <c r="A15" s="32">
        <v>10</v>
      </c>
      <c r="B15" s="30" t="s">
        <v>44</v>
      </c>
      <c r="C15" s="30" t="s">
        <v>45</v>
      </c>
      <c r="D15" s="31" t="s">
        <v>46</v>
      </c>
      <c r="E15" s="1">
        <v>0</v>
      </c>
      <c r="F15" s="79">
        <v>0</v>
      </c>
      <c r="G15" s="141">
        <f t="shared" si="0"/>
        <v>1</v>
      </c>
      <c r="H15" s="9">
        <f t="shared" si="1"/>
        <v>5</v>
      </c>
    </row>
    <row r="16" spans="1:8" x14ac:dyDescent="0.25">
      <c r="A16" s="32">
        <v>11</v>
      </c>
      <c r="B16" s="30" t="s">
        <v>47</v>
      </c>
      <c r="C16" s="30" t="s">
        <v>48</v>
      </c>
      <c r="D16" s="31" t="s">
        <v>49</v>
      </c>
      <c r="E16" s="1">
        <v>0</v>
      </c>
      <c r="F16" s="79">
        <v>0</v>
      </c>
      <c r="G16" s="141">
        <f t="shared" si="0"/>
        <v>1</v>
      </c>
      <c r="H16" s="9">
        <f t="shared" si="1"/>
        <v>5</v>
      </c>
    </row>
    <row r="17" spans="1:9" ht="18" customHeight="1" x14ac:dyDescent="0.25">
      <c r="A17" s="29" t="s">
        <v>37</v>
      </c>
      <c r="B17" s="30" t="s">
        <v>50</v>
      </c>
      <c r="C17" s="30" t="s">
        <v>51</v>
      </c>
      <c r="D17" s="31" t="s">
        <v>52</v>
      </c>
      <c r="E17" s="1">
        <v>0</v>
      </c>
      <c r="F17" s="79">
        <v>0</v>
      </c>
      <c r="G17" s="141">
        <f t="shared" si="0"/>
        <v>1</v>
      </c>
      <c r="H17" s="9">
        <f t="shared" si="1"/>
        <v>5</v>
      </c>
    </row>
    <row r="18" spans="1:9" s="36" customFormat="1" ht="16.5" thickBot="1" x14ac:dyDescent="0.3">
      <c r="A18" s="33" t="s">
        <v>37</v>
      </c>
      <c r="B18" s="34"/>
      <c r="C18" s="34"/>
      <c r="D18" s="35" t="s">
        <v>58</v>
      </c>
      <c r="E18" s="17">
        <f>E6+E7+E8+E9+E10+E11+E12+E13+E14+E15+E16+E17</f>
        <v>0</v>
      </c>
      <c r="F18" s="19">
        <f>SUM(F6:F17)</f>
        <v>0</v>
      </c>
      <c r="G18" s="20"/>
      <c r="H18" s="21">
        <f>SUM(H6:H17)/12</f>
        <v>5</v>
      </c>
    </row>
    <row r="19" spans="1:9" x14ac:dyDescent="0.25">
      <c r="A19" s="13"/>
      <c r="B19" s="13"/>
      <c r="C19" s="13"/>
      <c r="D19" s="13"/>
      <c r="E19" s="13"/>
    </row>
    <row r="20" spans="1:9" x14ac:dyDescent="0.25">
      <c r="A20" s="13"/>
      <c r="B20" s="13"/>
      <c r="C20" s="13"/>
      <c r="D20" s="13" t="s">
        <v>55</v>
      </c>
      <c r="E20" s="14"/>
      <c r="F20" s="16">
        <f>F18/A18</f>
        <v>0</v>
      </c>
    </row>
    <row r="21" spans="1:9" x14ac:dyDescent="0.25">
      <c r="A21" s="13"/>
      <c r="B21" s="13"/>
      <c r="C21" s="13"/>
      <c r="D21" s="13"/>
      <c r="E21" s="37"/>
    </row>
    <row r="22" spans="1:9" s="15" customFormat="1" x14ac:dyDescent="0.25">
      <c r="A22" s="391" t="s">
        <v>89</v>
      </c>
      <c r="B22" s="391"/>
      <c r="C22" s="391"/>
      <c r="D22" s="391"/>
      <c r="E22" s="391"/>
      <c r="F22" s="391"/>
      <c r="G22" s="391"/>
      <c r="H22" s="391"/>
      <c r="I22" s="391"/>
    </row>
    <row r="23" spans="1:9" s="15" customFormat="1" x14ac:dyDescent="0.25">
      <c r="A23" s="382"/>
      <c r="B23" s="383"/>
      <c r="C23" s="384"/>
    </row>
    <row r="24" spans="1:9" x14ac:dyDescent="0.25">
      <c r="A24" s="13"/>
      <c r="B24" s="13"/>
      <c r="C24" s="13"/>
      <c r="D24" s="13"/>
      <c r="E24" s="13"/>
    </row>
    <row r="25" spans="1:9" x14ac:dyDescent="0.25">
      <c r="A25" s="13"/>
      <c r="B25" s="13"/>
      <c r="C25" s="13"/>
      <c r="D25" s="13"/>
      <c r="E25" s="13"/>
    </row>
    <row r="26" spans="1:9" x14ac:dyDescent="0.25">
      <c r="A26" s="13"/>
      <c r="B26" s="13"/>
      <c r="C26" s="13"/>
      <c r="D26" s="13"/>
      <c r="E26" s="13"/>
    </row>
    <row r="31" spans="1:9" x14ac:dyDescent="0.25">
      <c r="E31" s="38"/>
    </row>
    <row r="33" spans="1:5" x14ac:dyDescent="0.25">
      <c r="A33" s="39"/>
      <c r="B33" s="39"/>
      <c r="C33" s="13"/>
      <c r="D33" s="24"/>
      <c r="E33" s="13"/>
    </row>
  </sheetData>
  <mergeCells count="5">
    <mergeCell ref="E3:F3"/>
    <mergeCell ref="H3:H5"/>
    <mergeCell ref="A1:H1"/>
    <mergeCell ref="A22:I22"/>
    <mergeCell ref="A23:C23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6.7109375" style="186" customWidth="1"/>
    <col min="2" max="2" width="9.140625" style="186" customWidth="1"/>
    <col min="3" max="3" width="13.28515625" style="186" customWidth="1"/>
    <col min="4" max="4" width="34.5703125" style="186" customWidth="1"/>
    <col min="5" max="5" width="17.7109375" style="186" customWidth="1"/>
    <col min="6" max="6" width="17.140625" style="186" customWidth="1"/>
    <col min="7" max="7" width="19.7109375" style="186" customWidth="1"/>
    <col min="8" max="8" width="34.42578125" style="186" customWidth="1"/>
    <col min="9" max="9" width="14" style="186" customWidth="1"/>
    <col min="10" max="16384" width="9.140625" style="186"/>
  </cols>
  <sheetData>
    <row r="1" spans="1:9" ht="18.75" x14ac:dyDescent="0.25">
      <c r="A1" s="473" t="s">
        <v>220</v>
      </c>
      <c r="B1" s="474"/>
      <c r="C1" s="474"/>
      <c r="D1" s="474"/>
      <c r="E1" s="474"/>
      <c r="F1" s="474"/>
      <c r="G1" s="474"/>
      <c r="H1" s="474"/>
      <c r="I1" s="474"/>
    </row>
    <row r="2" spans="1:9" ht="15.6" x14ac:dyDescent="0.3">
      <c r="A2" s="187"/>
      <c r="B2" s="187"/>
      <c r="C2" s="187"/>
      <c r="D2" s="188"/>
      <c r="E2" s="475"/>
      <c r="F2" s="475"/>
      <c r="G2" s="189"/>
      <c r="H2" s="189"/>
      <c r="I2" s="189"/>
    </row>
    <row r="3" spans="1:9" ht="99.75" customHeight="1" x14ac:dyDescent="0.25">
      <c r="A3" s="479" t="s">
        <v>0</v>
      </c>
      <c r="B3" s="479" t="s">
        <v>108</v>
      </c>
      <c r="C3" s="479" t="s">
        <v>1</v>
      </c>
      <c r="D3" s="479" t="s">
        <v>2</v>
      </c>
      <c r="E3" s="184" t="s">
        <v>112</v>
      </c>
      <c r="F3" s="185" t="s">
        <v>111</v>
      </c>
      <c r="G3" s="184" t="s">
        <v>79</v>
      </c>
      <c r="H3" s="184" t="s">
        <v>117</v>
      </c>
      <c r="I3" s="446" t="s">
        <v>57</v>
      </c>
    </row>
    <row r="4" spans="1:9" ht="67.5" customHeight="1" x14ac:dyDescent="0.25">
      <c r="A4" s="480"/>
      <c r="B4" s="480"/>
      <c r="C4" s="480"/>
      <c r="D4" s="480"/>
      <c r="E4" s="190" t="s">
        <v>110</v>
      </c>
      <c r="F4" s="191" t="s">
        <v>109</v>
      </c>
      <c r="G4" s="190" t="s">
        <v>113</v>
      </c>
      <c r="H4" s="200" t="s">
        <v>116</v>
      </c>
      <c r="I4" s="446"/>
    </row>
    <row r="5" spans="1:9" ht="27" customHeight="1" x14ac:dyDescent="0.25">
      <c r="A5" s="176" t="s">
        <v>8</v>
      </c>
      <c r="B5" s="176" t="s">
        <v>9</v>
      </c>
      <c r="C5" s="176" t="s">
        <v>10</v>
      </c>
      <c r="D5" s="192" t="s">
        <v>11</v>
      </c>
      <c r="E5" s="308"/>
      <c r="F5" s="308"/>
      <c r="G5" s="181" t="e">
        <f>(F5/E5)*100</f>
        <v>#DIV/0!</v>
      </c>
      <c r="H5" s="181">
        <v>1</v>
      </c>
      <c r="I5" s="181">
        <f>H5*5</f>
        <v>5</v>
      </c>
    </row>
    <row r="6" spans="1:9" ht="27" customHeight="1" x14ac:dyDescent="0.25">
      <c r="A6" s="176" t="s">
        <v>15</v>
      </c>
      <c r="B6" s="176" t="s">
        <v>12</v>
      </c>
      <c r="C6" s="176" t="s">
        <v>13</v>
      </c>
      <c r="D6" s="192" t="s">
        <v>14</v>
      </c>
      <c r="E6" s="308">
        <v>143272034.09999999</v>
      </c>
      <c r="F6" s="308">
        <v>143780160.22</v>
      </c>
      <c r="G6" s="181">
        <f t="shared" ref="G6:G16" si="0">(F6/E6)*100</f>
        <v>100.35465827172199</v>
      </c>
      <c r="H6" s="181">
        <v>1</v>
      </c>
      <c r="I6" s="181">
        <f>H6*5</f>
        <v>5</v>
      </c>
    </row>
    <row r="7" spans="1:9" ht="27" customHeight="1" x14ac:dyDescent="0.25">
      <c r="A7" s="176" t="s">
        <v>16</v>
      </c>
      <c r="B7" s="176" t="s">
        <v>22</v>
      </c>
      <c r="C7" s="176" t="s">
        <v>23</v>
      </c>
      <c r="D7" s="192" t="s">
        <v>24</v>
      </c>
      <c r="E7" s="308">
        <v>716</v>
      </c>
      <c r="F7" s="308">
        <v>731.56</v>
      </c>
      <c r="G7" s="181">
        <f t="shared" si="0"/>
        <v>102.1731843575419</v>
      </c>
      <c r="H7" s="181">
        <v>1</v>
      </c>
      <c r="I7" s="181">
        <f t="shared" ref="I7:I15" si="1">H7*5</f>
        <v>5</v>
      </c>
    </row>
    <row r="8" spans="1:9" ht="27" customHeight="1" x14ac:dyDescent="0.25">
      <c r="A8" s="176" t="s">
        <v>17</v>
      </c>
      <c r="B8" s="176" t="s">
        <v>25</v>
      </c>
      <c r="C8" s="176" t="s">
        <v>26</v>
      </c>
      <c r="D8" s="192" t="s">
        <v>27</v>
      </c>
      <c r="E8" s="308">
        <v>25000</v>
      </c>
      <c r="F8" s="308">
        <v>25000</v>
      </c>
      <c r="G8" s="181">
        <f t="shared" si="0"/>
        <v>100</v>
      </c>
      <c r="H8" s="181">
        <v>1</v>
      </c>
      <c r="I8" s="181">
        <f t="shared" si="1"/>
        <v>5</v>
      </c>
    </row>
    <row r="9" spans="1:9" ht="40.5" customHeight="1" x14ac:dyDescent="0.25">
      <c r="A9" s="176" t="s">
        <v>18</v>
      </c>
      <c r="B9" s="176" t="s">
        <v>28</v>
      </c>
      <c r="C9" s="176" t="s">
        <v>29</v>
      </c>
      <c r="D9" s="192" t="s">
        <v>30</v>
      </c>
      <c r="E9" s="308">
        <v>8456.44</v>
      </c>
      <c r="F9" s="308">
        <v>8456.44</v>
      </c>
      <c r="G9" s="181">
        <f t="shared" si="0"/>
        <v>100</v>
      </c>
      <c r="H9" s="181">
        <v>1</v>
      </c>
      <c r="I9" s="181">
        <f t="shared" si="1"/>
        <v>5</v>
      </c>
    </row>
    <row r="10" spans="1:9" ht="27" customHeight="1" x14ac:dyDescent="0.25">
      <c r="A10" s="176" t="s">
        <v>19</v>
      </c>
      <c r="B10" s="176" t="s">
        <v>31</v>
      </c>
      <c r="C10" s="176" t="s">
        <v>32</v>
      </c>
      <c r="D10" s="192" t="s">
        <v>33</v>
      </c>
      <c r="E10" s="308">
        <v>7308.39</v>
      </c>
      <c r="F10" s="308">
        <v>7308.39</v>
      </c>
      <c r="G10" s="181">
        <f t="shared" si="0"/>
        <v>100</v>
      </c>
      <c r="H10" s="181">
        <v>1</v>
      </c>
      <c r="I10" s="181">
        <f t="shared" si="1"/>
        <v>5</v>
      </c>
    </row>
    <row r="11" spans="1:9" ht="27" customHeight="1" x14ac:dyDescent="0.25">
      <c r="A11" s="176" t="s">
        <v>20</v>
      </c>
      <c r="B11" s="176" t="s">
        <v>34</v>
      </c>
      <c r="C11" s="176" t="s">
        <v>35</v>
      </c>
      <c r="D11" s="192" t="s">
        <v>36</v>
      </c>
      <c r="E11" s="308">
        <v>7408854.79</v>
      </c>
      <c r="F11" s="308">
        <v>7408915.2599999998</v>
      </c>
      <c r="G11" s="181">
        <f t="shared" si="0"/>
        <v>100.00081618552008</v>
      </c>
      <c r="H11" s="181">
        <v>1</v>
      </c>
      <c r="I11" s="181">
        <f t="shared" si="1"/>
        <v>5</v>
      </c>
    </row>
    <row r="12" spans="1:9" ht="27" customHeight="1" x14ac:dyDescent="0.25">
      <c r="A12" s="176" t="s">
        <v>21</v>
      </c>
      <c r="B12" s="176" t="s">
        <v>40</v>
      </c>
      <c r="C12" s="176" t="s">
        <v>38</v>
      </c>
      <c r="D12" s="192" t="s">
        <v>39</v>
      </c>
      <c r="E12" s="308">
        <v>269871.78000000003</v>
      </c>
      <c r="F12" s="308">
        <v>269953.75</v>
      </c>
      <c r="G12" s="181">
        <f t="shared" si="0"/>
        <v>100.03037368338401</v>
      </c>
      <c r="H12" s="181">
        <v>1</v>
      </c>
      <c r="I12" s="181">
        <f>H12*5</f>
        <v>5</v>
      </c>
    </row>
    <row r="13" spans="1:9" ht="27" customHeight="1" x14ac:dyDescent="0.25">
      <c r="A13" s="182">
        <v>9</v>
      </c>
      <c r="B13" s="176" t="s">
        <v>41</v>
      </c>
      <c r="C13" s="176" t="s">
        <v>42</v>
      </c>
      <c r="D13" s="192" t="s">
        <v>43</v>
      </c>
      <c r="E13" s="308">
        <v>43840.98</v>
      </c>
      <c r="F13" s="308">
        <v>43840.98</v>
      </c>
      <c r="G13" s="181">
        <f t="shared" si="0"/>
        <v>100</v>
      </c>
      <c r="H13" s="181">
        <v>1</v>
      </c>
      <c r="I13" s="181">
        <f t="shared" si="1"/>
        <v>5</v>
      </c>
    </row>
    <row r="14" spans="1:9" ht="27" customHeight="1" x14ac:dyDescent="0.25">
      <c r="A14" s="182">
        <v>10</v>
      </c>
      <c r="B14" s="176" t="s">
        <v>44</v>
      </c>
      <c r="C14" s="176" t="s">
        <v>45</v>
      </c>
      <c r="D14" s="192" t="s">
        <v>46</v>
      </c>
      <c r="E14" s="308">
        <v>1806.53</v>
      </c>
      <c r="F14" s="308">
        <v>1853.42</v>
      </c>
      <c r="G14" s="181">
        <f t="shared" si="0"/>
        <v>102.59558379877444</v>
      </c>
      <c r="H14" s="181">
        <v>1</v>
      </c>
      <c r="I14" s="181">
        <f t="shared" si="1"/>
        <v>5</v>
      </c>
    </row>
    <row r="15" spans="1:9" ht="27" customHeight="1" x14ac:dyDescent="0.25">
      <c r="A15" s="182">
        <v>11</v>
      </c>
      <c r="B15" s="176" t="s">
        <v>47</v>
      </c>
      <c r="C15" s="176" t="s">
        <v>48</v>
      </c>
      <c r="D15" s="192" t="s">
        <v>49</v>
      </c>
      <c r="E15" s="308">
        <v>10110.52</v>
      </c>
      <c r="F15" s="308">
        <v>10110.52</v>
      </c>
      <c r="G15" s="181">
        <f t="shared" si="0"/>
        <v>100</v>
      </c>
      <c r="H15" s="181">
        <v>1</v>
      </c>
      <c r="I15" s="181">
        <f t="shared" si="1"/>
        <v>5</v>
      </c>
    </row>
    <row r="16" spans="1:9" ht="27" customHeight="1" x14ac:dyDescent="0.25">
      <c r="A16" s="176" t="s">
        <v>37</v>
      </c>
      <c r="B16" s="176" t="s">
        <v>50</v>
      </c>
      <c r="C16" s="176" t="s">
        <v>51</v>
      </c>
      <c r="D16" s="192" t="s">
        <v>52</v>
      </c>
      <c r="E16" s="308">
        <v>88350.48</v>
      </c>
      <c r="F16" s="308">
        <v>88443.12</v>
      </c>
      <c r="G16" s="181">
        <f t="shared" si="0"/>
        <v>100.10485511793483</v>
      </c>
      <c r="H16" s="181">
        <v>1</v>
      </c>
      <c r="I16" s="181">
        <f>H16*5</f>
        <v>5</v>
      </c>
    </row>
    <row r="17" spans="1:9" ht="27" customHeight="1" x14ac:dyDescent="0.25">
      <c r="A17" s="193"/>
      <c r="B17" s="193"/>
      <c r="C17" s="193"/>
      <c r="D17" s="194" t="s">
        <v>58</v>
      </c>
      <c r="E17" s="199">
        <f>SUM(E5:E16)</f>
        <v>151136350.00999996</v>
      </c>
      <c r="F17" s="199">
        <f>SUM(F5:F16)</f>
        <v>151644773.65999997</v>
      </c>
      <c r="G17" s="183">
        <f>(F17/E17)*100</f>
        <v>100.336400640856</v>
      </c>
      <c r="H17" s="183">
        <f>SUM(H5:H16)</f>
        <v>12</v>
      </c>
      <c r="I17" s="183">
        <f>SUM(I5:I16)/12</f>
        <v>5</v>
      </c>
    </row>
    <row r="18" spans="1:9" ht="15.75" x14ac:dyDescent="0.25">
      <c r="A18" s="195"/>
      <c r="B18" s="195"/>
      <c r="C18" s="195"/>
      <c r="D18" s="195"/>
      <c r="E18" s="196"/>
      <c r="F18" s="189"/>
      <c r="G18" s="189"/>
      <c r="H18" s="189"/>
      <c r="I18" s="189"/>
    </row>
    <row r="19" spans="1:9" s="198" customFormat="1" ht="18.75" x14ac:dyDescent="0.25">
      <c r="A19" s="481" t="s">
        <v>114</v>
      </c>
      <c r="B19" s="481"/>
      <c r="C19" s="481"/>
      <c r="D19" s="481"/>
      <c r="E19" s="481"/>
      <c r="F19" s="481"/>
      <c r="G19" s="197"/>
      <c r="H19" s="472" t="s">
        <v>115</v>
      </c>
      <c r="I19" s="472"/>
    </row>
    <row r="20" spans="1:9" ht="15.75" x14ac:dyDescent="0.25">
      <c r="A20" s="476"/>
      <c r="B20" s="477"/>
      <c r="C20" s="478"/>
      <c r="D20" s="189"/>
      <c r="E20" s="189"/>
      <c r="F20" s="189"/>
      <c r="G20" s="189"/>
      <c r="H20" s="189"/>
      <c r="I20" s="189"/>
    </row>
  </sheetData>
  <mergeCells count="10">
    <mergeCell ref="H19:I19"/>
    <mergeCell ref="A1:I1"/>
    <mergeCell ref="E2:F2"/>
    <mergeCell ref="I3:I4"/>
    <mergeCell ref="A20:C20"/>
    <mergeCell ref="A3:A4"/>
    <mergeCell ref="B3:B4"/>
    <mergeCell ref="C3:C4"/>
    <mergeCell ref="D3:D4"/>
    <mergeCell ref="A19:F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24"/>
  <sheetViews>
    <sheetView view="pageBreakPreview" zoomScale="76" zoomScaleNormal="100" zoomScaleSheetLayoutView="76" workbookViewId="0">
      <selection activeCell="E19" sqref="E19"/>
    </sheetView>
  </sheetViews>
  <sheetFormatPr defaultRowHeight="15" x14ac:dyDescent="0.25"/>
  <cols>
    <col min="1" max="1" width="6.7109375" customWidth="1"/>
    <col min="2" max="2" width="10.85546875" customWidth="1"/>
    <col min="3" max="3" width="13.28515625" customWidth="1"/>
    <col min="4" max="4" width="28.85546875" customWidth="1"/>
    <col min="5" max="5" width="17.5703125" customWidth="1"/>
    <col min="6" max="6" width="19.42578125" customWidth="1"/>
    <col min="7" max="7" width="19.7109375" customWidth="1"/>
    <col min="8" max="8" width="24.5703125" customWidth="1"/>
    <col min="9" max="9" width="14" customWidth="1"/>
  </cols>
  <sheetData>
    <row r="2" spans="1:9" ht="33.6" customHeight="1" x14ac:dyDescent="0.25">
      <c r="A2" s="385" t="s">
        <v>208</v>
      </c>
      <c r="B2" s="386"/>
      <c r="C2" s="386"/>
      <c r="D2" s="386"/>
      <c r="E2" s="386"/>
      <c r="F2" s="386"/>
      <c r="G2" s="386"/>
      <c r="H2" s="386"/>
      <c r="I2" s="386"/>
    </row>
    <row r="3" spans="1:9" ht="15.6" x14ac:dyDescent="0.3">
      <c r="A3" s="22"/>
      <c r="B3" s="22"/>
      <c r="C3" s="22"/>
      <c r="D3" s="154"/>
      <c r="E3" s="387"/>
      <c r="F3" s="387"/>
      <c r="G3" s="15"/>
      <c r="H3" s="15"/>
      <c r="I3" s="15"/>
    </row>
    <row r="4" spans="1:9" ht="56.25" customHeight="1" x14ac:dyDescent="0.25">
      <c r="A4" s="210" t="s">
        <v>0</v>
      </c>
      <c r="B4" s="210" t="s">
        <v>108</v>
      </c>
      <c r="C4" s="210" t="s">
        <v>1</v>
      </c>
      <c r="D4" s="210" t="s">
        <v>2</v>
      </c>
      <c r="E4" s="388" t="s">
        <v>101</v>
      </c>
      <c r="F4" s="388"/>
      <c r="G4" s="269"/>
      <c r="H4" s="269"/>
      <c r="I4" s="389" t="s">
        <v>57</v>
      </c>
    </row>
    <row r="5" spans="1:9" ht="39" customHeight="1" x14ac:dyDescent="0.25">
      <c r="A5" s="210"/>
      <c r="B5" s="210"/>
      <c r="C5" s="210"/>
      <c r="D5" s="210"/>
      <c r="E5" s="210" t="s">
        <v>102</v>
      </c>
      <c r="F5" s="269" t="s">
        <v>94</v>
      </c>
      <c r="G5" s="269" t="s">
        <v>79</v>
      </c>
      <c r="H5" s="269" t="s">
        <v>72</v>
      </c>
      <c r="I5" s="390"/>
    </row>
    <row r="6" spans="1:9" ht="35.450000000000003" customHeight="1" x14ac:dyDescent="0.25">
      <c r="A6" s="210"/>
      <c r="B6" s="210"/>
      <c r="C6" s="210"/>
      <c r="D6" s="210"/>
      <c r="E6" s="210" t="s">
        <v>103</v>
      </c>
      <c r="F6" s="269" t="s">
        <v>104</v>
      </c>
      <c r="G6" s="269" t="s">
        <v>105</v>
      </c>
      <c r="H6" s="270" t="s">
        <v>106</v>
      </c>
      <c r="I6" s="390"/>
    </row>
    <row r="7" spans="1:9" ht="30" customHeight="1" x14ac:dyDescent="0.25">
      <c r="A7" s="176" t="s">
        <v>8</v>
      </c>
      <c r="B7" s="176" t="s">
        <v>9</v>
      </c>
      <c r="C7" s="176" t="s">
        <v>10</v>
      </c>
      <c r="D7" s="180" t="s">
        <v>11</v>
      </c>
      <c r="E7" s="168">
        <v>0</v>
      </c>
      <c r="F7" s="168">
        <v>0</v>
      </c>
      <c r="G7" s="141" t="e">
        <f t="shared" ref="G7:G18" si="0">(F7/E7)*100</f>
        <v>#DIV/0!</v>
      </c>
      <c r="H7" s="141">
        <v>1</v>
      </c>
      <c r="I7" s="181">
        <f>H7*5</f>
        <v>5</v>
      </c>
    </row>
    <row r="8" spans="1:9" ht="25.5" x14ac:dyDescent="0.25">
      <c r="A8" s="176" t="s">
        <v>15</v>
      </c>
      <c r="B8" s="176" t="s">
        <v>12</v>
      </c>
      <c r="C8" s="176" t="s">
        <v>13</v>
      </c>
      <c r="D8" s="180" t="s">
        <v>14</v>
      </c>
      <c r="E8" s="168">
        <v>0</v>
      </c>
      <c r="F8" s="168">
        <v>0</v>
      </c>
      <c r="G8" s="141" t="e">
        <f t="shared" si="0"/>
        <v>#DIV/0!</v>
      </c>
      <c r="H8" s="141">
        <v>1</v>
      </c>
      <c r="I8" s="181">
        <f>H8*5</f>
        <v>5</v>
      </c>
    </row>
    <row r="9" spans="1:9" ht="25.5" x14ac:dyDescent="0.25">
      <c r="A9" s="176" t="s">
        <v>16</v>
      </c>
      <c r="B9" s="176" t="s">
        <v>22</v>
      </c>
      <c r="C9" s="176" t="s">
        <v>23</v>
      </c>
      <c r="D9" s="180" t="s">
        <v>24</v>
      </c>
      <c r="E9" s="168">
        <v>0</v>
      </c>
      <c r="F9" s="168">
        <v>0</v>
      </c>
      <c r="G9" s="141" t="e">
        <f t="shared" si="0"/>
        <v>#DIV/0!</v>
      </c>
      <c r="H9" s="141">
        <v>1</v>
      </c>
      <c r="I9" s="181">
        <f t="shared" ref="I9:I18" si="1">H9*5</f>
        <v>5</v>
      </c>
    </row>
    <row r="10" spans="1:9" ht="27" customHeight="1" x14ac:dyDescent="0.25">
      <c r="A10" s="176" t="s">
        <v>17</v>
      </c>
      <c r="B10" s="176" t="s">
        <v>25</v>
      </c>
      <c r="C10" s="176" t="s">
        <v>26</v>
      </c>
      <c r="D10" s="180" t="s">
        <v>27</v>
      </c>
      <c r="E10" s="168">
        <v>0</v>
      </c>
      <c r="F10" s="168">
        <v>0</v>
      </c>
      <c r="G10" s="141" t="e">
        <f t="shared" si="0"/>
        <v>#DIV/0!</v>
      </c>
      <c r="H10" s="141">
        <v>1</v>
      </c>
      <c r="I10" s="181">
        <f t="shared" si="1"/>
        <v>5</v>
      </c>
    </row>
    <row r="11" spans="1:9" ht="43.15" customHeight="1" x14ac:dyDescent="0.25">
      <c r="A11" s="176" t="s">
        <v>18</v>
      </c>
      <c r="B11" s="176" t="s">
        <v>28</v>
      </c>
      <c r="C11" s="176" t="s">
        <v>29</v>
      </c>
      <c r="D11" s="180" t="s">
        <v>30</v>
      </c>
      <c r="E11" s="168">
        <v>0</v>
      </c>
      <c r="F11" s="168">
        <v>0</v>
      </c>
      <c r="G11" s="141" t="e">
        <f t="shared" si="0"/>
        <v>#DIV/0!</v>
      </c>
      <c r="H11" s="141">
        <v>1</v>
      </c>
      <c r="I11" s="181">
        <f t="shared" si="1"/>
        <v>5</v>
      </c>
    </row>
    <row r="12" spans="1:9" ht="38.25" x14ac:dyDescent="0.25">
      <c r="A12" s="176" t="s">
        <v>19</v>
      </c>
      <c r="B12" s="176" t="s">
        <v>31</v>
      </c>
      <c r="C12" s="176" t="s">
        <v>32</v>
      </c>
      <c r="D12" s="180" t="s">
        <v>33</v>
      </c>
      <c r="E12" s="168">
        <v>0</v>
      </c>
      <c r="F12" s="168">
        <v>0</v>
      </c>
      <c r="G12" s="141" t="e">
        <f t="shared" si="0"/>
        <v>#DIV/0!</v>
      </c>
      <c r="H12" s="141">
        <v>1</v>
      </c>
      <c r="I12" s="181">
        <f t="shared" si="1"/>
        <v>5</v>
      </c>
    </row>
    <row r="13" spans="1:9" ht="15.75" x14ac:dyDescent="0.25">
      <c r="A13" s="176" t="s">
        <v>20</v>
      </c>
      <c r="B13" s="176" t="s">
        <v>34</v>
      </c>
      <c r="C13" s="176" t="s">
        <v>35</v>
      </c>
      <c r="D13" s="180" t="s">
        <v>36</v>
      </c>
      <c r="E13" s="168">
        <v>0</v>
      </c>
      <c r="F13" s="168">
        <v>0</v>
      </c>
      <c r="G13" s="141" t="e">
        <f t="shared" si="0"/>
        <v>#DIV/0!</v>
      </c>
      <c r="H13" s="141">
        <v>1</v>
      </c>
      <c r="I13" s="181">
        <f t="shared" si="1"/>
        <v>5</v>
      </c>
    </row>
    <row r="14" spans="1:9" ht="30.75" customHeight="1" x14ac:dyDescent="0.25">
      <c r="A14" s="176" t="s">
        <v>21</v>
      </c>
      <c r="B14" s="176" t="s">
        <v>40</v>
      </c>
      <c r="C14" s="176" t="s">
        <v>38</v>
      </c>
      <c r="D14" s="180" t="s">
        <v>39</v>
      </c>
      <c r="E14" s="211">
        <v>8730358.9700000007</v>
      </c>
      <c r="F14" s="211">
        <v>8730358.9700000007</v>
      </c>
      <c r="G14" s="141">
        <f t="shared" si="0"/>
        <v>100</v>
      </c>
      <c r="H14" s="141">
        <v>1</v>
      </c>
      <c r="I14" s="181">
        <f>H14*5</f>
        <v>5</v>
      </c>
    </row>
    <row r="15" spans="1:9" ht="15.75" x14ac:dyDescent="0.25">
      <c r="A15" s="182">
        <v>9</v>
      </c>
      <c r="B15" s="176" t="s">
        <v>41</v>
      </c>
      <c r="C15" s="176" t="s">
        <v>42</v>
      </c>
      <c r="D15" s="180" t="s">
        <v>43</v>
      </c>
      <c r="E15" s="168">
        <v>0</v>
      </c>
      <c r="F15" s="168">
        <v>0</v>
      </c>
      <c r="G15" s="141" t="e">
        <f t="shared" si="0"/>
        <v>#DIV/0!</v>
      </c>
      <c r="H15" s="141">
        <v>1</v>
      </c>
      <c r="I15" s="181">
        <f t="shared" si="1"/>
        <v>5</v>
      </c>
    </row>
    <row r="16" spans="1:9" ht="25.5" x14ac:dyDescent="0.25">
      <c r="A16" s="182">
        <v>10</v>
      </c>
      <c r="B16" s="176" t="s">
        <v>44</v>
      </c>
      <c r="C16" s="176" t="s">
        <v>45</v>
      </c>
      <c r="D16" s="180" t="s">
        <v>46</v>
      </c>
      <c r="E16" s="168">
        <v>0</v>
      </c>
      <c r="F16" s="168">
        <v>0</v>
      </c>
      <c r="G16" s="141" t="e">
        <f t="shared" si="0"/>
        <v>#DIV/0!</v>
      </c>
      <c r="H16" s="141">
        <v>1</v>
      </c>
      <c r="I16" s="181">
        <f t="shared" si="1"/>
        <v>5</v>
      </c>
    </row>
    <row r="17" spans="1:9" ht="25.5" x14ac:dyDescent="0.25">
      <c r="A17" s="182">
        <v>11</v>
      </c>
      <c r="B17" s="176" t="s">
        <v>47</v>
      </c>
      <c r="C17" s="176" t="s">
        <v>48</v>
      </c>
      <c r="D17" s="180" t="s">
        <v>49</v>
      </c>
      <c r="E17" s="168">
        <v>0</v>
      </c>
      <c r="F17" s="168">
        <v>0</v>
      </c>
      <c r="G17" s="141" t="e">
        <f t="shared" si="0"/>
        <v>#DIV/0!</v>
      </c>
      <c r="H17" s="141">
        <v>1</v>
      </c>
      <c r="I17" s="181">
        <f t="shared" si="1"/>
        <v>5</v>
      </c>
    </row>
    <row r="18" spans="1:9" ht="28.15" customHeight="1" x14ac:dyDescent="0.25">
      <c r="A18" s="176" t="s">
        <v>37</v>
      </c>
      <c r="B18" s="176" t="s">
        <v>50</v>
      </c>
      <c r="C18" s="176" t="s">
        <v>51</v>
      </c>
      <c r="D18" s="180" t="s">
        <v>52</v>
      </c>
      <c r="E18" s="168">
        <v>0</v>
      </c>
      <c r="F18" s="168">
        <v>0</v>
      </c>
      <c r="G18" s="141" t="e">
        <f t="shared" si="0"/>
        <v>#DIV/0!</v>
      </c>
      <c r="H18" s="141">
        <v>1</v>
      </c>
      <c r="I18" s="181">
        <f t="shared" si="1"/>
        <v>5</v>
      </c>
    </row>
    <row r="19" spans="1:9" ht="15.75" x14ac:dyDescent="0.25">
      <c r="A19" s="392" t="s">
        <v>58</v>
      </c>
      <c r="B19" s="392"/>
      <c r="C19" s="392"/>
      <c r="D19" s="392"/>
      <c r="E19" s="370">
        <f>E7+E8+E9+E10+E11+E12+E13+E14+E15+E16+E17+E18</f>
        <v>8730358.9700000007</v>
      </c>
      <c r="F19" s="369">
        <f>F7+F8+F9+F10+F11+F12+F13+F14+F15+F16+F17+F18</f>
        <v>8730358.9700000007</v>
      </c>
      <c r="G19" s="263"/>
      <c r="H19" s="264">
        <f t="shared" ref="H19:I19" si="2">H7+H8+H9+H10+H11+H12+H13+H14+H15+H16+H17+H18</f>
        <v>12</v>
      </c>
      <c r="I19" s="264">
        <f t="shared" si="2"/>
        <v>60</v>
      </c>
    </row>
    <row r="20" spans="1:9" ht="15.75" x14ac:dyDescent="0.25">
      <c r="A20" s="482" t="s">
        <v>184</v>
      </c>
      <c r="B20" s="483"/>
      <c r="C20" s="483"/>
      <c r="D20" s="484"/>
      <c r="E20" s="262"/>
      <c r="F20" s="263"/>
      <c r="G20" s="268"/>
      <c r="H20" s="181">
        <f>H19/12</f>
        <v>1</v>
      </c>
      <c r="I20" s="181">
        <f>I19/12</f>
        <v>5</v>
      </c>
    </row>
    <row r="21" spans="1:9" ht="21" customHeight="1" x14ac:dyDescent="0.25">
      <c r="A21" s="13" t="s">
        <v>199</v>
      </c>
      <c r="B21" s="13"/>
      <c r="C21" s="13"/>
      <c r="D21" s="13"/>
      <c r="E21" s="13"/>
      <c r="F21" s="15"/>
      <c r="G21" s="15"/>
      <c r="H21" s="15"/>
      <c r="I21" s="15"/>
    </row>
    <row r="22" spans="1:9" ht="16.899999999999999" customHeight="1" x14ac:dyDescent="0.25">
      <c r="A22" s="13"/>
      <c r="B22" s="13"/>
      <c r="C22" s="13"/>
      <c r="D22" s="13"/>
      <c r="E22" s="37"/>
      <c r="F22" s="15"/>
      <c r="G22" s="15"/>
      <c r="H22" s="15"/>
      <c r="I22" s="15"/>
    </row>
    <row r="23" spans="1:9" ht="14.45" customHeight="1" x14ac:dyDescent="0.25">
      <c r="A23" s="391" t="s">
        <v>198</v>
      </c>
      <c r="B23" s="391"/>
      <c r="C23" s="391"/>
      <c r="D23" s="391"/>
      <c r="E23" s="391"/>
      <c r="F23" s="391"/>
      <c r="G23" s="391"/>
      <c r="H23" s="391"/>
      <c r="I23" s="391"/>
    </row>
    <row r="24" spans="1:9" ht="15.6" hidden="1" x14ac:dyDescent="0.3">
      <c r="A24" s="382"/>
      <c r="B24" s="383"/>
      <c r="C24" s="384"/>
      <c r="D24" s="15"/>
      <c r="E24" s="15"/>
      <c r="F24" s="15"/>
      <c r="G24" s="15"/>
      <c r="H24" s="15"/>
      <c r="I24" s="15"/>
    </row>
  </sheetData>
  <mergeCells count="8">
    <mergeCell ref="A24:C24"/>
    <mergeCell ref="A2:I2"/>
    <mergeCell ref="E3:F3"/>
    <mergeCell ref="E4:F4"/>
    <mergeCell ref="I4:I6"/>
    <mergeCell ref="A23:I23"/>
    <mergeCell ref="A19:D19"/>
    <mergeCell ref="A20:D20"/>
  </mergeCells>
  <pageMargins left="0.7" right="0.7" top="0.75" bottom="0.75" header="0.3" footer="0.3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22"/>
  <sheetViews>
    <sheetView view="pageBreakPreview" zoomScale="95" zoomScaleNormal="100" zoomScaleSheetLayoutView="95" workbookViewId="0">
      <selection activeCell="A17" sqref="A17:XFD17"/>
    </sheetView>
  </sheetViews>
  <sheetFormatPr defaultRowHeight="15" x14ac:dyDescent="0.25"/>
  <cols>
    <col min="1" max="1" width="5.140625" customWidth="1"/>
    <col min="2" max="2" width="6.28515625" customWidth="1"/>
    <col min="3" max="3" width="13.28515625" customWidth="1"/>
    <col min="4" max="4" width="30.7109375" customWidth="1"/>
    <col min="5" max="5" width="17.5703125" customWidth="1"/>
    <col min="6" max="6" width="19.42578125" customWidth="1"/>
    <col min="7" max="7" width="19.7109375" customWidth="1"/>
    <col min="8" max="8" width="24.42578125" customWidth="1"/>
    <col min="9" max="9" width="14" customWidth="1"/>
  </cols>
  <sheetData>
    <row r="2" spans="1:9" x14ac:dyDescent="0.25">
      <c r="A2" s="385" t="s">
        <v>209</v>
      </c>
      <c r="B2" s="386"/>
      <c r="C2" s="386"/>
      <c r="D2" s="386"/>
      <c r="E2" s="386"/>
      <c r="F2" s="386"/>
      <c r="G2" s="386"/>
      <c r="H2" s="386"/>
      <c r="I2" s="386"/>
    </row>
    <row r="3" spans="1:9" ht="16.149999999999999" thickBot="1" x14ac:dyDescent="0.35">
      <c r="A3" s="22"/>
      <c r="B3" s="22"/>
      <c r="C3" s="22"/>
      <c r="D3" s="201"/>
      <c r="E3" s="387"/>
      <c r="F3" s="387"/>
      <c r="G3" s="15"/>
      <c r="H3" s="15"/>
      <c r="I3" s="15"/>
    </row>
    <row r="4" spans="1:9" ht="32.25" thickBot="1" x14ac:dyDescent="0.3">
      <c r="A4" s="156" t="s">
        <v>0</v>
      </c>
      <c r="B4" s="203" t="s">
        <v>108</v>
      </c>
      <c r="C4" s="203" t="s">
        <v>1</v>
      </c>
      <c r="D4" s="203" t="s">
        <v>2</v>
      </c>
      <c r="E4" s="420" t="s">
        <v>204</v>
      </c>
      <c r="F4" s="420"/>
      <c r="G4" s="157"/>
      <c r="H4" s="157"/>
      <c r="I4" s="463" t="s">
        <v>57</v>
      </c>
    </row>
    <row r="5" spans="1:9" ht="34.15" customHeight="1" thickBot="1" x14ac:dyDescent="0.3">
      <c r="A5" s="158"/>
      <c r="B5" s="159"/>
      <c r="C5" s="159"/>
      <c r="D5" s="159"/>
      <c r="E5" s="159" t="s">
        <v>130</v>
      </c>
      <c r="F5" s="160" t="s">
        <v>131</v>
      </c>
      <c r="G5" s="161" t="s">
        <v>79</v>
      </c>
      <c r="H5" s="162" t="s">
        <v>72</v>
      </c>
      <c r="I5" s="485"/>
    </row>
    <row r="6" spans="1:9" ht="55.5" customHeight="1" thickBot="1" x14ac:dyDescent="0.3">
      <c r="A6" s="163"/>
      <c r="B6" s="164"/>
      <c r="C6" s="164"/>
      <c r="D6" s="164"/>
      <c r="E6" s="164" t="s">
        <v>133</v>
      </c>
      <c r="F6" s="165" t="s">
        <v>132</v>
      </c>
      <c r="G6" s="166" t="s">
        <v>190</v>
      </c>
      <c r="H6" s="167" t="s">
        <v>201</v>
      </c>
      <c r="I6" s="464"/>
    </row>
    <row r="7" spans="1:9" ht="30" customHeight="1" thickBot="1" x14ac:dyDescent="0.3">
      <c r="A7" s="173" t="s">
        <v>8</v>
      </c>
      <c r="B7" s="174" t="s">
        <v>9</v>
      </c>
      <c r="C7" s="174" t="s">
        <v>10</v>
      </c>
      <c r="D7" s="179" t="s">
        <v>11</v>
      </c>
      <c r="E7" s="212">
        <v>0</v>
      </c>
      <c r="F7" s="212">
        <v>0</v>
      </c>
      <c r="G7" s="170">
        <v>-1</v>
      </c>
      <c r="H7" s="7">
        <v>1</v>
      </c>
      <c r="I7" s="215">
        <v>5</v>
      </c>
    </row>
    <row r="8" spans="1:9" ht="26.25" thickBot="1" x14ac:dyDescent="0.3">
      <c r="A8" s="175" t="s">
        <v>15</v>
      </c>
      <c r="B8" s="176" t="s">
        <v>12</v>
      </c>
      <c r="C8" s="176" t="s">
        <v>13</v>
      </c>
      <c r="D8" s="180" t="s">
        <v>14</v>
      </c>
      <c r="E8" s="213">
        <v>29518698.050000001</v>
      </c>
      <c r="F8" s="213">
        <v>48346132.420000002</v>
      </c>
      <c r="G8" s="170">
        <f>(F8-E8)/E8</f>
        <v>0.63781384728111346</v>
      </c>
      <c r="H8" s="7">
        <v>0</v>
      </c>
      <c r="I8" s="216">
        <f>H8*5</f>
        <v>0</v>
      </c>
    </row>
    <row r="9" spans="1:9" ht="26.25" thickBot="1" x14ac:dyDescent="0.3">
      <c r="A9" s="175" t="s">
        <v>16</v>
      </c>
      <c r="B9" s="176" t="s">
        <v>22</v>
      </c>
      <c r="C9" s="176" t="s">
        <v>23</v>
      </c>
      <c r="D9" s="180" t="s">
        <v>24</v>
      </c>
      <c r="E9" s="213">
        <v>0</v>
      </c>
      <c r="F9" s="213">
        <v>0</v>
      </c>
      <c r="G9" s="170">
        <v>-1</v>
      </c>
      <c r="H9" s="7">
        <v>1</v>
      </c>
      <c r="I9" s="216">
        <f t="shared" ref="I9:I17" si="0">H9*5</f>
        <v>5</v>
      </c>
    </row>
    <row r="10" spans="1:9" ht="29.45" customHeight="1" thickBot="1" x14ac:dyDescent="0.3">
      <c r="A10" s="175" t="s">
        <v>17</v>
      </c>
      <c r="B10" s="176" t="s">
        <v>25</v>
      </c>
      <c r="C10" s="176" t="s">
        <v>26</v>
      </c>
      <c r="D10" s="180" t="s">
        <v>27</v>
      </c>
      <c r="E10" s="213">
        <v>0</v>
      </c>
      <c r="F10" s="213">
        <v>0</v>
      </c>
      <c r="G10" s="170">
        <v>-1</v>
      </c>
      <c r="H10" s="7">
        <v>1</v>
      </c>
      <c r="I10" s="216">
        <f t="shared" si="0"/>
        <v>5</v>
      </c>
    </row>
    <row r="11" spans="1:9" ht="41.45" customHeight="1" thickBot="1" x14ac:dyDescent="0.3">
      <c r="A11" s="175" t="s">
        <v>18</v>
      </c>
      <c r="B11" s="176" t="s">
        <v>28</v>
      </c>
      <c r="C11" s="176" t="s">
        <v>29</v>
      </c>
      <c r="D11" s="180" t="s">
        <v>30</v>
      </c>
      <c r="E11" s="213">
        <v>8192.75</v>
      </c>
      <c r="F11" s="213">
        <v>2616.0700000000002</v>
      </c>
      <c r="G11" s="170">
        <f>(F11-E11)/E11</f>
        <v>-0.68068475176222887</v>
      </c>
      <c r="H11" s="7">
        <v>1</v>
      </c>
      <c r="I11" s="216">
        <f t="shared" si="0"/>
        <v>5</v>
      </c>
    </row>
    <row r="12" spans="1:9" ht="38.25" customHeight="1" thickBot="1" x14ac:dyDescent="0.3">
      <c r="A12" s="175" t="s">
        <v>19</v>
      </c>
      <c r="B12" s="176" t="s">
        <v>31</v>
      </c>
      <c r="C12" s="176" t="s">
        <v>32</v>
      </c>
      <c r="D12" s="180" t="s">
        <v>33</v>
      </c>
      <c r="E12" s="213">
        <v>0</v>
      </c>
      <c r="F12" s="213">
        <v>0</v>
      </c>
      <c r="G12" s="170">
        <v>-1</v>
      </c>
      <c r="H12" s="7">
        <v>1</v>
      </c>
      <c r="I12" s="216">
        <f t="shared" si="0"/>
        <v>5</v>
      </c>
    </row>
    <row r="13" spans="1:9" ht="22.5" customHeight="1" thickBot="1" x14ac:dyDescent="0.3">
      <c r="A13" s="175" t="s">
        <v>20</v>
      </c>
      <c r="B13" s="176" t="s">
        <v>34</v>
      </c>
      <c r="C13" s="176" t="s">
        <v>35</v>
      </c>
      <c r="D13" s="180" t="s">
        <v>36</v>
      </c>
      <c r="E13" s="213">
        <v>137784.38</v>
      </c>
      <c r="F13" s="213">
        <v>1720191</v>
      </c>
      <c r="G13" s="170">
        <f t="shared" ref="G13:G18" si="1">(F13-E13)/E13</f>
        <v>11.484659001259795</v>
      </c>
      <c r="H13" s="7">
        <v>0</v>
      </c>
      <c r="I13" s="216">
        <f t="shared" si="0"/>
        <v>0</v>
      </c>
    </row>
    <row r="14" spans="1:9" ht="25.5" customHeight="1" thickBot="1" x14ac:dyDescent="0.3">
      <c r="A14" s="175" t="s">
        <v>21</v>
      </c>
      <c r="B14" s="176" t="s">
        <v>40</v>
      </c>
      <c r="C14" s="176" t="s">
        <v>38</v>
      </c>
      <c r="D14" s="180" t="s">
        <v>39</v>
      </c>
      <c r="E14" s="213">
        <v>0</v>
      </c>
      <c r="F14" s="213">
        <v>0</v>
      </c>
      <c r="G14" s="170">
        <v>-1</v>
      </c>
      <c r="H14" s="7">
        <v>1</v>
      </c>
      <c r="I14" s="216">
        <f>H14*5</f>
        <v>5</v>
      </c>
    </row>
    <row r="15" spans="1:9" ht="16.5" thickBot="1" x14ac:dyDescent="0.3">
      <c r="A15" s="177">
        <v>9</v>
      </c>
      <c r="B15" s="176" t="s">
        <v>41</v>
      </c>
      <c r="C15" s="176" t="s">
        <v>42</v>
      </c>
      <c r="D15" s="180" t="s">
        <v>43</v>
      </c>
      <c r="E15" s="213">
        <v>1180.73</v>
      </c>
      <c r="F15" s="213">
        <v>615.71</v>
      </c>
      <c r="G15" s="170">
        <f t="shared" si="1"/>
        <v>-0.47853446596597016</v>
      </c>
      <c r="H15" s="2">
        <v>0.96</v>
      </c>
      <c r="I15" s="216">
        <f t="shared" si="0"/>
        <v>4.8</v>
      </c>
    </row>
    <row r="16" spans="1:9" ht="26.25" thickBot="1" x14ac:dyDescent="0.3">
      <c r="A16" s="177">
        <v>10</v>
      </c>
      <c r="B16" s="176" t="s">
        <v>44</v>
      </c>
      <c r="C16" s="176" t="s">
        <v>45</v>
      </c>
      <c r="D16" s="180" t="s">
        <v>46</v>
      </c>
      <c r="E16" s="213">
        <v>806.53</v>
      </c>
      <c r="F16" s="213">
        <v>620.25</v>
      </c>
      <c r="G16" s="170">
        <f t="shared" si="1"/>
        <v>-0.23096475022627799</v>
      </c>
      <c r="H16" s="2">
        <v>0.46</v>
      </c>
      <c r="I16" s="216">
        <f t="shared" si="0"/>
        <v>2.3000000000000003</v>
      </c>
    </row>
    <row r="17" spans="1:9" ht="28.5" customHeight="1" thickBot="1" x14ac:dyDescent="0.3">
      <c r="A17" s="177">
        <v>11</v>
      </c>
      <c r="B17" s="176" t="s">
        <v>47</v>
      </c>
      <c r="C17" s="176" t="s">
        <v>48</v>
      </c>
      <c r="D17" s="180" t="s">
        <v>49</v>
      </c>
      <c r="E17" s="213">
        <v>5090.53</v>
      </c>
      <c r="F17" s="213">
        <v>6786.91</v>
      </c>
      <c r="G17" s="170">
        <f t="shared" si="1"/>
        <v>0.33324231465093029</v>
      </c>
      <c r="H17" s="7">
        <v>0</v>
      </c>
      <c r="I17" s="216">
        <f t="shared" si="0"/>
        <v>0</v>
      </c>
    </row>
    <row r="18" spans="1:9" ht="29.45" customHeight="1" thickBot="1" x14ac:dyDescent="0.3">
      <c r="A18" s="175" t="s">
        <v>37</v>
      </c>
      <c r="B18" s="176" t="s">
        <v>50</v>
      </c>
      <c r="C18" s="176" t="s">
        <v>51</v>
      </c>
      <c r="D18" s="180" t="s">
        <v>52</v>
      </c>
      <c r="E18" s="214">
        <v>257594.45</v>
      </c>
      <c r="F18" s="214">
        <v>194195.69</v>
      </c>
      <c r="G18" s="170">
        <f t="shared" si="1"/>
        <v>-0.24611850138851984</v>
      </c>
      <c r="H18" s="2">
        <v>0.49</v>
      </c>
      <c r="I18" s="216">
        <f>H18*5</f>
        <v>2.4500000000000002</v>
      </c>
    </row>
    <row r="19" spans="1:9" ht="16.5" thickBot="1" x14ac:dyDescent="0.3">
      <c r="A19" s="33" t="s">
        <v>37</v>
      </c>
      <c r="B19" s="34"/>
      <c r="C19" s="34"/>
      <c r="D19" s="35" t="s">
        <v>58</v>
      </c>
      <c r="E19" s="371">
        <f>E7+E8+E9+E10+E11+E12+E13+E14+E15+E16+E17+E18</f>
        <v>29929347.420000002</v>
      </c>
      <c r="F19" s="371">
        <f t="shared" ref="F19" si="2">F7+F8+F9+F10+F11+F12+F13+F14+F15+F16+F17+F18</f>
        <v>50271158.049999997</v>
      </c>
      <c r="G19" s="317">
        <f>(G7+G8+G9+G10+G11+G12+G13+G14+G15+G16+G17+G18)/12</f>
        <v>0.48495105782073678</v>
      </c>
      <c r="H19" s="316">
        <f>(H7+H8+H9+H10+H11+H12+H13+H14+H15+H16+H17+H18)/12</f>
        <v>0.65916666666666668</v>
      </c>
      <c r="I19" s="316">
        <f>(I7+I8+I9+I10+I11+I12+I13+I14+I15+I16+I17+I18)/12</f>
        <v>3.2958333333333329</v>
      </c>
    </row>
    <row r="20" spans="1:9" ht="15.75" x14ac:dyDescent="0.25">
      <c r="A20" s="13"/>
      <c r="B20" s="13"/>
      <c r="C20" s="13"/>
      <c r="D20" s="13"/>
      <c r="E20" s="13"/>
      <c r="F20" s="15"/>
      <c r="G20" s="15"/>
      <c r="H20" s="15"/>
      <c r="I20" s="15"/>
    </row>
    <row r="21" spans="1:9" ht="15.75" x14ac:dyDescent="0.25">
      <c r="A21" s="13"/>
      <c r="B21" s="13"/>
      <c r="C21" s="13"/>
      <c r="D21" s="13"/>
      <c r="E21" s="37"/>
      <c r="F21" s="15"/>
      <c r="G21" s="15"/>
      <c r="H21" s="15"/>
      <c r="I21" s="15"/>
    </row>
    <row r="22" spans="1:9" ht="15.75" x14ac:dyDescent="0.25">
      <c r="A22" s="391" t="s">
        <v>134</v>
      </c>
      <c r="B22" s="391"/>
      <c r="C22" s="391"/>
      <c r="D22" s="391"/>
      <c r="E22" s="391"/>
      <c r="F22" s="391"/>
      <c r="G22" s="391"/>
      <c r="H22" s="391"/>
      <c r="I22" s="391"/>
    </row>
  </sheetData>
  <mergeCells count="5">
    <mergeCell ref="A2:I2"/>
    <mergeCell ref="E3:F3"/>
    <mergeCell ref="E4:F4"/>
    <mergeCell ref="I4:I6"/>
    <mergeCell ref="A22:I22"/>
  </mergeCells>
  <pageMargins left="0.7" right="0.7" top="0.75" bottom="0.75" header="0.3" footer="0.3"/>
  <pageSetup paperSize="9" scale="8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Q33"/>
  <sheetViews>
    <sheetView view="pageBreakPreview" zoomScale="76" zoomScaleNormal="100" zoomScaleSheetLayoutView="76" workbookViewId="0">
      <selection activeCell="H38" sqref="H38"/>
    </sheetView>
  </sheetViews>
  <sheetFormatPr defaultColWidth="9.140625" defaultRowHeight="15.75" x14ac:dyDescent="0.25"/>
  <cols>
    <col min="1" max="1" width="6.28515625" style="15" customWidth="1"/>
    <col min="2" max="2" width="7" style="15" customWidth="1"/>
    <col min="3" max="3" width="15.7109375" style="15" customWidth="1"/>
    <col min="4" max="4" width="52.42578125" style="15" customWidth="1"/>
    <col min="5" max="5" width="18.85546875" style="15" customWidth="1"/>
    <col min="6" max="6" width="25.28515625" style="15" customWidth="1"/>
    <col min="7" max="7" width="16" style="15" customWidth="1"/>
    <col min="8" max="8" width="19.42578125" style="15" customWidth="1"/>
    <col min="9" max="9" width="12.5703125" style="15" customWidth="1"/>
    <col min="10" max="16384" width="9.140625" style="15"/>
  </cols>
  <sheetData>
    <row r="1" spans="1:173" ht="18.75" customHeight="1" x14ac:dyDescent="0.25">
      <c r="A1" s="456" t="s">
        <v>136</v>
      </c>
      <c r="B1" s="456"/>
      <c r="C1" s="456"/>
      <c r="D1" s="456"/>
      <c r="E1" s="456"/>
      <c r="F1" s="456"/>
      <c r="G1" s="456"/>
      <c r="H1" s="456"/>
      <c r="I1" s="456"/>
    </row>
    <row r="2" spans="1:173" ht="16.5" thickBot="1" x14ac:dyDescent="0.3">
      <c r="D2" s="217" t="s">
        <v>75</v>
      </c>
      <c r="E2" s="457" t="s">
        <v>206</v>
      </c>
      <c r="F2" s="457"/>
    </row>
    <row r="3" spans="1:173" ht="31.5" customHeight="1" thickBot="1" x14ac:dyDescent="0.3">
      <c r="A3" s="69" t="s">
        <v>0</v>
      </c>
      <c r="B3" s="49"/>
      <c r="C3" s="50" t="s">
        <v>1</v>
      </c>
      <c r="D3" s="109" t="s">
        <v>2</v>
      </c>
      <c r="E3" s="460"/>
      <c r="F3" s="437"/>
      <c r="G3" s="104"/>
      <c r="H3" s="438" t="s">
        <v>203</v>
      </c>
      <c r="I3" s="438" t="s">
        <v>57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</row>
    <row r="4" spans="1:173" ht="86.25" customHeight="1" thickBot="1" x14ac:dyDescent="0.3">
      <c r="A4" s="49"/>
      <c r="B4" s="70"/>
      <c r="C4" s="70"/>
      <c r="D4" s="110"/>
      <c r="E4" s="11" t="s">
        <v>191</v>
      </c>
      <c r="F4" s="71" t="s">
        <v>192</v>
      </c>
      <c r="G4" s="105" t="s">
        <v>79</v>
      </c>
      <c r="H4" s="461"/>
      <c r="I4" s="439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</row>
    <row r="5" spans="1:173" ht="36.75" customHeight="1" thickBot="1" x14ac:dyDescent="0.3">
      <c r="A5" s="81"/>
      <c r="B5" s="51"/>
      <c r="C5" s="51"/>
      <c r="D5" s="68"/>
      <c r="E5" s="51" t="s">
        <v>137</v>
      </c>
      <c r="F5" s="68" t="s">
        <v>138</v>
      </c>
      <c r="G5" s="106" t="s">
        <v>139</v>
      </c>
      <c r="H5" s="462"/>
      <c r="I5" s="439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</row>
    <row r="6" spans="1:173" ht="16.5" thickBot="1" x14ac:dyDescent="0.3">
      <c r="A6" s="82" t="s">
        <v>8</v>
      </c>
      <c r="B6" s="54" t="s">
        <v>9</v>
      </c>
      <c r="C6" s="55" t="s">
        <v>10</v>
      </c>
      <c r="D6" s="111" t="s">
        <v>11</v>
      </c>
      <c r="E6" s="8">
        <v>0</v>
      </c>
      <c r="F6" s="309">
        <v>0</v>
      </c>
      <c r="G6" s="310">
        <v>0</v>
      </c>
      <c r="H6" s="311">
        <f>IF(G6&gt;10,0,1-(G6/100))</f>
        <v>1</v>
      </c>
      <c r="I6" s="223">
        <v>5</v>
      </c>
    </row>
    <row r="7" spans="1:173" ht="18.75" customHeight="1" thickBot="1" x14ac:dyDescent="0.3">
      <c r="A7" s="56" t="s">
        <v>15</v>
      </c>
      <c r="B7" s="57" t="s">
        <v>12</v>
      </c>
      <c r="C7" s="58" t="s">
        <v>13</v>
      </c>
      <c r="D7" s="112" t="s">
        <v>14</v>
      </c>
      <c r="E7" s="8">
        <v>0</v>
      </c>
      <c r="F7" s="309">
        <v>0</v>
      </c>
      <c r="G7" s="310">
        <v>0</v>
      </c>
      <c r="H7" s="312">
        <v>1</v>
      </c>
      <c r="I7" s="223">
        <v>5</v>
      </c>
    </row>
    <row r="8" spans="1:173" ht="16.5" thickBot="1" x14ac:dyDescent="0.3">
      <c r="A8" s="56" t="s">
        <v>16</v>
      </c>
      <c r="B8" s="57" t="s">
        <v>22</v>
      </c>
      <c r="C8" s="58" t="s">
        <v>23</v>
      </c>
      <c r="D8" s="112" t="s">
        <v>24</v>
      </c>
      <c r="E8" s="8">
        <v>0</v>
      </c>
      <c r="F8" s="309">
        <v>0</v>
      </c>
      <c r="G8" s="310">
        <v>0</v>
      </c>
      <c r="H8" s="312">
        <f t="shared" ref="H8:H17" si="0">IF(G8&gt;10,0,1-(G8/100))</f>
        <v>1</v>
      </c>
      <c r="I8" s="108">
        <v>5</v>
      </c>
    </row>
    <row r="9" spans="1:173" ht="32.25" thickBot="1" x14ac:dyDescent="0.3">
      <c r="A9" s="56" t="s">
        <v>17</v>
      </c>
      <c r="B9" s="57" t="s">
        <v>25</v>
      </c>
      <c r="C9" s="58" t="s">
        <v>26</v>
      </c>
      <c r="D9" s="112" t="s">
        <v>27</v>
      </c>
      <c r="E9" s="8">
        <v>0</v>
      </c>
      <c r="F9" s="309">
        <v>0</v>
      </c>
      <c r="G9" s="310">
        <v>0</v>
      </c>
      <c r="H9" s="312">
        <f t="shared" si="0"/>
        <v>1</v>
      </c>
      <c r="I9" s="108">
        <v>5</v>
      </c>
    </row>
    <row r="10" spans="1:173" ht="32.25" thickBot="1" x14ac:dyDescent="0.3">
      <c r="A10" s="56" t="s">
        <v>18</v>
      </c>
      <c r="B10" s="57" t="s">
        <v>28</v>
      </c>
      <c r="C10" s="58" t="s">
        <v>29</v>
      </c>
      <c r="D10" s="112" t="s">
        <v>30</v>
      </c>
      <c r="E10" s="8">
        <v>0</v>
      </c>
      <c r="F10" s="309">
        <v>0</v>
      </c>
      <c r="G10" s="310">
        <v>0</v>
      </c>
      <c r="H10" s="312">
        <f t="shared" si="0"/>
        <v>1</v>
      </c>
      <c r="I10" s="108">
        <v>5</v>
      </c>
    </row>
    <row r="11" spans="1:173" ht="19.5" customHeight="1" thickBot="1" x14ac:dyDescent="0.3">
      <c r="A11" s="56" t="s">
        <v>19</v>
      </c>
      <c r="B11" s="57" t="s">
        <v>31</v>
      </c>
      <c r="C11" s="58" t="s">
        <v>32</v>
      </c>
      <c r="D11" s="112" t="s">
        <v>33</v>
      </c>
      <c r="E11" s="8">
        <v>0</v>
      </c>
      <c r="F11" s="309">
        <v>0</v>
      </c>
      <c r="G11" s="310">
        <v>0</v>
      </c>
      <c r="H11" s="312">
        <f t="shared" si="0"/>
        <v>1</v>
      </c>
      <c r="I11" s="108">
        <v>5</v>
      </c>
    </row>
    <row r="12" spans="1:173" ht="16.5" thickBot="1" x14ac:dyDescent="0.3">
      <c r="A12" s="56" t="s">
        <v>20</v>
      </c>
      <c r="B12" s="57" t="s">
        <v>34</v>
      </c>
      <c r="C12" s="58" t="s">
        <v>35</v>
      </c>
      <c r="D12" s="112" t="s">
        <v>36</v>
      </c>
      <c r="E12" s="8">
        <v>0</v>
      </c>
      <c r="F12" s="309">
        <v>0</v>
      </c>
      <c r="G12" s="310">
        <v>0</v>
      </c>
      <c r="H12" s="312">
        <f t="shared" si="0"/>
        <v>1</v>
      </c>
      <c r="I12" s="108">
        <v>5</v>
      </c>
    </row>
    <row r="13" spans="1:173" ht="16.5" thickBot="1" x14ac:dyDescent="0.3">
      <c r="A13" s="56" t="s">
        <v>21</v>
      </c>
      <c r="B13" s="57" t="s">
        <v>40</v>
      </c>
      <c r="C13" s="58" t="s">
        <v>38</v>
      </c>
      <c r="D13" s="112" t="s">
        <v>39</v>
      </c>
      <c r="E13" s="8">
        <v>0</v>
      </c>
      <c r="F13" s="309">
        <v>0</v>
      </c>
      <c r="G13" s="310">
        <v>0</v>
      </c>
      <c r="H13" s="312">
        <v>1</v>
      </c>
      <c r="I13" s="108">
        <v>5</v>
      </c>
    </row>
    <row r="14" spans="1:173" ht="16.5" thickBot="1" x14ac:dyDescent="0.3">
      <c r="A14" s="60">
        <v>9</v>
      </c>
      <c r="B14" s="57" t="s">
        <v>41</v>
      </c>
      <c r="C14" s="58" t="s">
        <v>42</v>
      </c>
      <c r="D14" s="112" t="s">
        <v>43</v>
      </c>
      <c r="E14" s="8">
        <v>0</v>
      </c>
      <c r="F14" s="309">
        <v>0</v>
      </c>
      <c r="G14" s="310">
        <v>0</v>
      </c>
      <c r="H14" s="312">
        <v>1</v>
      </c>
      <c r="I14" s="108">
        <v>5</v>
      </c>
    </row>
    <row r="15" spans="1:173" ht="16.5" thickBot="1" x14ac:dyDescent="0.3">
      <c r="A15" s="60">
        <v>10</v>
      </c>
      <c r="B15" s="57" t="s">
        <v>44</v>
      </c>
      <c r="C15" s="58" t="s">
        <v>45</v>
      </c>
      <c r="D15" s="112" t="s">
        <v>46</v>
      </c>
      <c r="E15" s="8">
        <v>0</v>
      </c>
      <c r="F15" s="309">
        <v>0</v>
      </c>
      <c r="G15" s="310">
        <v>0</v>
      </c>
      <c r="H15" s="312">
        <f t="shared" si="0"/>
        <v>1</v>
      </c>
      <c r="I15" s="108">
        <v>5</v>
      </c>
    </row>
    <row r="16" spans="1:173" ht="16.5" thickBot="1" x14ac:dyDescent="0.3">
      <c r="A16" s="60">
        <v>11</v>
      </c>
      <c r="B16" s="57" t="s">
        <v>47</v>
      </c>
      <c r="C16" s="58" t="s">
        <v>48</v>
      </c>
      <c r="D16" s="112" t="s">
        <v>49</v>
      </c>
      <c r="E16" s="8">
        <v>10</v>
      </c>
      <c r="F16" s="309">
        <v>0</v>
      </c>
      <c r="G16" s="355">
        <v>0</v>
      </c>
      <c r="H16" s="103">
        <v>1</v>
      </c>
      <c r="I16" s="108">
        <f>H16*5</f>
        <v>5</v>
      </c>
    </row>
    <row r="17" spans="1:9" ht="35.25" customHeight="1" x14ac:dyDescent="0.25">
      <c r="A17" s="56" t="s">
        <v>37</v>
      </c>
      <c r="B17" s="57" t="s">
        <v>50</v>
      </c>
      <c r="C17" s="58" t="s">
        <v>51</v>
      </c>
      <c r="D17" s="112" t="s">
        <v>52</v>
      </c>
      <c r="E17" s="8">
        <v>0</v>
      </c>
      <c r="F17" s="309">
        <v>0</v>
      </c>
      <c r="G17" s="310">
        <v>0</v>
      </c>
      <c r="H17" s="312">
        <f t="shared" si="0"/>
        <v>1</v>
      </c>
      <c r="I17" s="108">
        <v>5</v>
      </c>
    </row>
    <row r="18" spans="1:9" s="64" customFormat="1" ht="16.5" thickBot="1" x14ac:dyDescent="0.3">
      <c r="A18" s="61" t="s">
        <v>37</v>
      </c>
      <c r="B18" s="62"/>
      <c r="C18" s="63"/>
      <c r="D18" s="113" t="s">
        <v>58</v>
      </c>
      <c r="E18" s="18">
        <f>E6+E7+E8+E9+E10+E11+E12+E13+E14+E15+E16+E17</f>
        <v>10</v>
      </c>
      <c r="F18" s="19">
        <f>F6+F7+F8+F9+F10+F11+F12+F13+F14+F15+F16+F17</f>
        <v>0</v>
      </c>
      <c r="G18" s="19">
        <f>G6+G7+G8+G9+G10+G11+G12+G13+G14+G15+G16+G17</f>
        <v>0</v>
      </c>
      <c r="H18" s="19">
        <f>(H6+H7+H8+H9+H10+H11+H12+H13+H14+H15+H16+H17)/12</f>
        <v>1</v>
      </c>
      <c r="I18" s="19">
        <f>(I6+I7+I8+I9+I10+I11+I12+I13+I14+I15+I16+I17)/12</f>
        <v>5</v>
      </c>
    </row>
    <row r="19" spans="1:9" x14ac:dyDescent="0.25">
      <c r="H19" s="80"/>
    </row>
    <row r="20" spans="1:9" x14ac:dyDescent="0.25">
      <c r="G20" s="128"/>
    </row>
    <row r="21" spans="1:9" x14ac:dyDescent="0.25">
      <c r="E21" s="65"/>
    </row>
    <row r="23" spans="1:9" x14ac:dyDescent="0.25">
      <c r="A23" s="391" t="s">
        <v>202</v>
      </c>
      <c r="B23" s="391"/>
      <c r="C23" s="391"/>
      <c r="D23" s="391"/>
      <c r="E23" s="391"/>
      <c r="F23" s="391"/>
    </row>
    <row r="24" spans="1:9" x14ac:dyDescent="0.25">
      <c r="A24" s="441"/>
      <c r="B24" s="391"/>
      <c r="C24" s="442"/>
    </row>
    <row r="31" spans="1:9" x14ac:dyDescent="0.25">
      <c r="E31" s="66"/>
    </row>
    <row r="33" spans="1:4" x14ac:dyDescent="0.25">
      <c r="A33" s="67"/>
      <c r="B33" s="67"/>
      <c r="D33" s="48"/>
    </row>
  </sheetData>
  <mergeCells count="7">
    <mergeCell ref="A23:F23"/>
    <mergeCell ref="A24:C24"/>
    <mergeCell ref="A1:I1"/>
    <mergeCell ref="E2:F2"/>
    <mergeCell ref="E3:F3"/>
    <mergeCell ref="H3:H5"/>
    <mergeCell ref="I3:I5"/>
  </mergeCells>
  <pageMargins left="0.7" right="0.7" top="0.75" bottom="0.75" header="0.3" footer="0.3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P30"/>
  <sheetViews>
    <sheetView view="pageBreakPreview" zoomScale="69" zoomScaleNormal="100" zoomScaleSheetLayoutView="69" workbookViewId="0">
      <selection activeCell="E3" sqref="E3"/>
    </sheetView>
  </sheetViews>
  <sheetFormatPr defaultColWidth="9.140625" defaultRowHeight="15.75" x14ac:dyDescent="0.25"/>
  <cols>
    <col min="1" max="1" width="6.28515625" style="15" customWidth="1"/>
    <col min="2" max="2" width="7" style="15" customWidth="1"/>
    <col min="3" max="3" width="15.7109375" style="15" customWidth="1"/>
    <col min="4" max="4" width="52.42578125" style="15" customWidth="1"/>
    <col min="5" max="5" width="18.85546875" style="15" customWidth="1"/>
    <col min="6" max="6" width="16" style="15" customWidth="1"/>
    <col min="7" max="7" width="19.42578125" style="15" customWidth="1"/>
    <col min="8" max="8" width="12.5703125" style="15" customWidth="1"/>
    <col min="9" max="16384" width="9.140625" style="15"/>
  </cols>
  <sheetData>
    <row r="1" spans="1:172" ht="18.75" customHeight="1" x14ac:dyDescent="0.25">
      <c r="A1" s="456" t="s">
        <v>140</v>
      </c>
      <c r="B1" s="456"/>
      <c r="C1" s="456"/>
      <c r="D1" s="456"/>
      <c r="E1" s="456"/>
      <c r="F1" s="456"/>
      <c r="G1" s="456"/>
      <c r="H1" s="456"/>
    </row>
    <row r="2" spans="1:172" ht="16.5" thickBot="1" x14ac:dyDescent="0.3">
      <c r="D2" s="217" t="s">
        <v>75</v>
      </c>
      <c r="E2" s="218" t="s">
        <v>206</v>
      </c>
    </row>
    <row r="3" spans="1:172" ht="31.5" customHeight="1" thickBot="1" x14ac:dyDescent="0.3">
      <c r="A3" s="69" t="s">
        <v>0</v>
      </c>
      <c r="B3" s="49"/>
      <c r="C3" s="50" t="s">
        <v>1</v>
      </c>
      <c r="D3" s="109" t="s">
        <v>2</v>
      </c>
      <c r="E3" s="219"/>
      <c r="F3" s="104"/>
      <c r="G3" s="438" t="s">
        <v>195</v>
      </c>
      <c r="H3" s="438" t="s">
        <v>57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</row>
    <row r="4" spans="1:172" ht="86.25" customHeight="1" thickBot="1" x14ac:dyDescent="0.3">
      <c r="A4" s="49"/>
      <c r="B4" s="70"/>
      <c r="C4" s="70"/>
      <c r="D4" s="110"/>
      <c r="E4" s="11" t="s">
        <v>141</v>
      </c>
      <c r="F4" s="105" t="s">
        <v>79</v>
      </c>
      <c r="G4" s="461"/>
      <c r="H4" s="439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</row>
    <row r="5" spans="1:172" ht="36.75" customHeight="1" thickBot="1" x14ac:dyDescent="0.3">
      <c r="A5" s="81"/>
      <c r="B5" s="51"/>
      <c r="C5" s="51"/>
      <c r="D5" s="68"/>
      <c r="E5" s="51" t="s">
        <v>142</v>
      </c>
      <c r="F5" s="106" t="s">
        <v>143</v>
      </c>
      <c r="G5" s="462"/>
      <c r="H5" s="439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</row>
    <row r="6" spans="1:172" ht="16.5" thickBot="1" x14ac:dyDescent="0.3">
      <c r="A6" s="82" t="s">
        <v>8</v>
      </c>
      <c r="B6" s="54" t="s">
        <v>9</v>
      </c>
      <c r="C6" s="55" t="s">
        <v>10</v>
      </c>
      <c r="D6" s="111" t="s">
        <v>11</v>
      </c>
      <c r="E6" s="8">
        <v>0</v>
      </c>
      <c r="F6" s="107">
        <f>E6</f>
        <v>0</v>
      </c>
      <c r="G6" s="2">
        <v>1</v>
      </c>
      <c r="H6" s="223">
        <v>5</v>
      </c>
    </row>
    <row r="7" spans="1:172" ht="33.75" customHeight="1" thickBot="1" x14ac:dyDescent="0.3">
      <c r="A7" s="56" t="s">
        <v>15</v>
      </c>
      <c r="B7" s="57" t="s">
        <v>12</v>
      </c>
      <c r="C7" s="58" t="s">
        <v>13</v>
      </c>
      <c r="D7" s="112" t="s">
        <v>14</v>
      </c>
      <c r="E7" s="8">
        <v>0</v>
      </c>
      <c r="F7" s="107">
        <f t="shared" ref="F7:F17" si="0">E7</f>
        <v>0</v>
      </c>
      <c r="G7" s="2">
        <v>1</v>
      </c>
      <c r="H7" s="108">
        <f>G7*5</f>
        <v>5</v>
      </c>
    </row>
    <row r="8" spans="1:172" ht="16.5" thickBot="1" x14ac:dyDescent="0.3">
      <c r="A8" s="56" t="s">
        <v>16</v>
      </c>
      <c r="B8" s="57" t="s">
        <v>22</v>
      </c>
      <c r="C8" s="58" t="s">
        <v>23</v>
      </c>
      <c r="D8" s="112" t="s">
        <v>24</v>
      </c>
      <c r="E8" s="8">
        <v>0</v>
      </c>
      <c r="F8" s="107">
        <f t="shared" si="0"/>
        <v>0</v>
      </c>
      <c r="G8" s="2">
        <v>1</v>
      </c>
      <c r="H8" s="108">
        <v>5</v>
      </c>
    </row>
    <row r="9" spans="1:172" ht="32.25" thickBot="1" x14ac:dyDescent="0.3">
      <c r="A9" s="56" t="s">
        <v>17</v>
      </c>
      <c r="B9" s="57" t="s">
        <v>25</v>
      </c>
      <c r="C9" s="58" t="s">
        <v>26</v>
      </c>
      <c r="D9" s="112" t="s">
        <v>27</v>
      </c>
      <c r="E9" s="8">
        <v>0</v>
      </c>
      <c r="F9" s="107">
        <f t="shared" si="0"/>
        <v>0</v>
      </c>
      <c r="G9" s="2">
        <v>1</v>
      </c>
      <c r="H9" s="108">
        <v>5</v>
      </c>
    </row>
    <row r="10" spans="1:172" ht="32.25" thickBot="1" x14ac:dyDescent="0.3">
      <c r="A10" s="56" t="s">
        <v>18</v>
      </c>
      <c r="B10" s="57" t="s">
        <v>28</v>
      </c>
      <c r="C10" s="58" t="s">
        <v>29</v>
      </c>
      <c r="D10" s="112" t="s">
        <v>30</v>
      </c>
      <c r="E10" s="8">
        <v>0</v>
      </c>
      <c r="F10" s="107">
        <f t="shared" si="0"/>
        <v>0</v>
      </c>
      <c r="G10" s="2">
        <v>1</v>
      </c>
      <c r="H10" s="108">
        <v>5</v>
      </c>
    </row>
    <row r="11" spans="1:172" ht="19.5" customHeight="1" thickBot="1" x14ac:dyDescent="0.3">
      <c r="A11" s="56" t="s">
        <v>19</v>
      </c>
      <c r="B11" s="57" t="s">
        <v>31</v>
      </c>
      <c r="C11" s="58" t="s">
        <v>32</v>
      </c>
      <c r="D11" s="112" t="s">
        <v>33</v>
      </c>
      <c r="E11" s="8">
        <v>0</v>
      </c>
      <c r="F11" s="107">
        <f t="shared" si="0"/>
        <v>0</v>
      </c>
      <c r="G11" s="2">
        <v>1</v>
      </c>
      <c r="H11" s="108">
        <v>5</v>
      </c>
    </row>
    <row r="12" spans="1:172" ht="16.5" thickBot="1" x14ac:dyDescent="0.3">
      <c r="A12" s="56" t="s">
        <v>20</v>
      </c>
      <c r="B12" s="57" t="s">
        <v>34</v>
      </c>
      <c r="C12" s="58" t="s">
        <v>35</v>
      </c>
      <c r="D12" s="112" t="s">
        <v>36</v>
      </c>
      <c r="E12" s="8">
        <v>0</v>
      </c>
      <c r="F12" s="107">
        <f t="shared" si="0"/>
        <v>0</v>
      </c>
      <c r="G12" s="2">
        <v>1</v>
      </c>
      <c r="H12" s="108">
        <v>5</v>
      </c>
    </row>
    <row r="13" spans="1:172" ht="16.5" thickBot="1" x14ac:dyDescent="0.3">
      <c r="A13" s="56" t="s">
        <v>21</v>
      </c>
      <c r="B13" s="57" t="s">
        <v>40</v>
      </c>
      <c r="C13" s="58" t="s">
        <v>38</v>
      </c>
      <c r="D13" s="112" t="s">
        <v>39</v>
      </c>
      <c r="E13" s="8">
        <v>0</v>
      </c>
      <c r="F13" s="107">
        <f t="shared" si="0"/>
        <v>0</v>
      </c>
      <c r="G13" s="2">
        <v>1</v>
      </c>
      <c r="H13" s="108">
        <v>5</v>
      </c>
    </row>
    <row r="14" spans="1:172" ht="16.5" thickBot="1" x14ac:dyDescent="0.3">
      <c r="A14" s="60">
        <v>9</v>
      </c>
      <c r="B14" s="57" t="s">
        <v>41</v>
      </c>
      <c r="C14" s="58" t="s">
        <v>42</v>
      </c>
      <c r="D14" s="112" t="s">
        <v>43</v>
      </c>
      <c r="E14" s="8">
        <v>0</v>
      </c>
      <c r="F14" s="107">
        <f t="shared" si="0"/>
        <v>0</v>
      </c>
      <c r="G14" s="2">
        <f t="shared" ref="G14:G17" si="1">IF(F14&lt;10,(1-(F14/10)),0)</f>
        <v>1</v>
      </c>
      <c r="H14" s="108">
        <v>5</v>
      </c>
    </row>
    <row r="15" spans="1:172" ht="16.5" thickBot="1" x14ac:dyDescent="0.3">
      <c r="A15" s="60">
        <v>10</v>
      </c>
      <c r="B15" s="57" t="s">
        <v>44</v>
      </c>
      <c r="C15" s="58" t="s">
        <v>45</v>
      </c>
      <c r="D15" s="112" t="s">
        <v>46</v>
      </c>
      <c r="E15" s="8">
        <v>0</v>
      </c>
      <c r="F15" s="107">
        <f t="shared" si="0"/>
        <v>0</v>
      </c>
      <c r="G15" s="2">
        <f t="shared" si="1"/>
        <v>1</v>
      </c>
      <c r="H15" s="108">
        <v>5</v>
      </c>
    </row>
    <row r="16" spans="1:172" ht="16.5" thickBot="1" x14ac:dyDescent="0.3">
      <c r="A16" s="60">
        <v>11</v>
      </c>
      <c r="B16" s="57" t="s">
        <v>47</v>
      </c>
      <c r="C16" s="58" t="s">
        <v>48</v>
      </c>
      <c r="D16" s="112" t="s">
        <v>49</v>
      </c>
      <c r="E16" s="8">
        <v>0</v>
      </c>
      <c r="F16" s="107">
        <f t="shared" si="0"/>
        <v>0</v>
      </c>
      <c r="G16" s="2">
        <f t="shared" si="1"/>
        <v>1</v>
      </c>
      <c r="H16" s="108">
        <v>5</v>
      </c>
    </row>
    <row r="17" spans="1:8" ht="35.25" customHeight="1" x14ac:dyDescent="0.25">
      <c r="A17" s="56" t="s">
        <v>37</v>
      </c>
      <c r="B17" s="57" t="s">
        <v>50</v>
      </c>
      <c r="C17" s="58" t="s">
        <v>51</v>
      </c>
      <c r="D17" s="112" t="s">
        <v>52</v>
      </c>
      <c r="E17" s="8">
        <v>0</v>
      </c>
      <c r="F17" s="107">
        <f t="shared" si="0"/>
        <v>0</v>
      </c>
      <c r="G17" s="2">
        <f t="shared" si="1"/>
        <v>1</v>
      </c>
      <c r="H17" s="108">
        <v>5</v>
      </c>
    </row>
    <row r="18" spans="1:8" s="64" customFormat="1" ht="16.5" thickBot="1" x14ac:dyDescent="0.3">
      <c r="A18" s="61" t="s">
        <v>37</v>
      </c>
      <c r="B18" s="62"/>
      <c r="C18" s="63"/>
      <c r="D18" s="113" t="s">
        <v>58</v>
      </c>
      <c r="E18" s="18">
        <f>E6+E7+E8+E9+E10+E11+E12+E13+E14+E15+E16+E17</f>
        <v>0</v>
      </c>
      <c r="F18" s="18">
        <f t="shared" ref="F18" si="2">F6+F7+F8+F9+F10+F11+F12+F13+F14+F15+F16+F17</f>
        <v>0</v>
      </c>
      <c r="G18" s="172">
        <f>(G6+G7+G8+G9+G10+G11+G12+G13+G14+G15+G16+G17)/12</f>
        <v>1</v>
      </c>
      <c r="H18" s="172">
        <f>(H6+H7+H8+H9+H10+H11+H12+H13+H14+H15+H16+H17)/12</f>
        <v>5</v>
      </c>
    </row>
    <row r="20" spans="1:8" x14ac:dyDescent="0.25">
      <c r="A20" s="391" t="s">
        <v>124</v>
      </c>
      <c r="B20" s="391"/>
      <c r="C20" s="391"/>
      <c r="D20" s="391"/>
      <c r="E20" s="391"/>
    </row>
    <row r="21" spans="1:8" x14ac:dyDescent="0.25">
      <c r="A21" s="441"/>
      <c r="B21" s="391"/>
      <c r="C21" s="442"/>
    </row>
    <row r="28" spans="1:8" x14ac:dyDescent="0.25">
      <c r="E28" s="66"/>
    </row>
    <row r="30" spans="1:8" x14ac:dyDescent="0.25">
      <c r="A30" s="67"/>
      <c r="B30" s="67"/>
      <c r="D30" s="48"/>
    </row>
  </sheetData>
  <mergeCells count="5">
    <mergeCell ref="A21:C21"/>
    <mergeCell ref="A1:H1"/>
    <mergeCell ref="G3:G5"/>
    <mergeCell ref="H3:H5"/>
    <mergeCell ref="A20:E20"/>
  </mergeCells>
  <pageMargins left="0.7" right="0.7" top="0.75" bottom="0.75" header="0.3" footer="0.3"/>
  <pageSetup paperSize="9"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"/>
  <sheetViews>
    <sheetView view="pageBreakPreview" zoomScale="83" zoomScaleNormal="110" zoomScaleSheetLayoutView="83" workbookViewId="0">
      <selection activeCell="J31" sqref="J31"/>
    </sheetView>
  </sheetViews>
  <sheetFormatPr defaultColWidth="9.140625" defaultRowHeight="15.75" x14ac:dyDescent="0.25"/>
  <cols>
    <col min="1" max="1" width="3.85546875" style="22" customWidth="1"/>
    <col min="2" max="2" width="5.28515625" style="22" customWidth="1"/>
    <col min="3" max="3" width="14" style="22" customWidth="1"/>
    <col min="4" max="4" width="62.42578125" style="22" customWidth="1"/>
    <col min="5" max="5" width="17.5703125" style="22" customWidth="1"/>
    <col min="6" max="6" width="23.140625" style="22" customWidth="1"/>
    <col min="7" max="7" width="14.7109375" style="15" customWidth="1"/>
    <col min="8" max="8" width="17.5703125" style="15" customWidth="1"/>
    <col min="9" max="9" width="12.140625" style="15" customWidth="1"/>
    <col min="10" max="16384" width="9.140625" style="22"/>
  </cols>
  <sheetData>
    <row r="1" spans="1:9" ht="35.25" customHeight="1" x14ac:dyDescent="0.25">
      <c r="A1" s="470" t="s">
        <v>85</v>
      </c>
      <c r="B1" s="471"/>
      <c r="C1" s="471"/>
      <c r="D1" s="471"/>
      <c r="E1" s="471"/>
      <c r="F1" s="471"/>
      <c r="G1" s="471"/>
      <c r="H1" s="471"/>
      <c r="I1" s="471"/>
    </row>
    <row r="2" spans="1:9" ht="16.5" thickBot="1" x14ac:dyDescent="0.3">
      <c r="D2" s="129" t="s">
        <v>75</v>
      </c>
      <c r="E2" s="36" t="s">
        <v>206</v>
      </c>
      <c r="F2" s="73"/>
    </row>
    <row r="3" spans="1:9" ht="51.75" customHeight="1" x14ac:dyDescent="0.25">
      <c r="A3" s="75" t="s">
        <v>0</v>
      </c>
      <c r="B3" s="76"/>
      <c r="C3" s="76" t="s">
        <v>1</v>
      </c>
      <c r="D3" s="76" t="s">
        <v>2</v>
      </c>
      <c r="E3" s="465" t="s">
        <v>66</v>
      </c>
      <c r="F3" s="486"/>
      <c r="G3" s="466"/>
      <c r="H3" s="77" t="s">
        <v>59</v>
      </c>
      <c r="I3" s="467" t="s">
        <v>57</v>
      </c>
    </row>
    <row r="4" spans="1:9" ht="50.25" customHeight="1" x14ac:dyDescent="0.25">
      <c r="A4" s="78"/>
      <c r="B4" s="74"/>
      <c r="C4" s="74"/>
      <c r="D4" s="74"/>
      <c r="E4" s="74" t="s">
        <v>67</v>
      </c>
      <c r="F4" s="74" t="s">
        <v>69</v>
      </c>
      <c r="G4" s="72" t="s">
        <v>79</v>
      </c>
      <c r="H4" s="72" t="s">
        <v>54</v>
      </c>
      <c r="I4" s="468"/>
    </row>
    <row r="5" spans="1:9" ht="51.75" customHeight="1" thickBot="1" x14ac:dyDescent="0.3">
      <c r="A5" s="148"/>
      <c r="B5" s="149"/>
      <c r="C5" s="149"/>
      <c r="D5" s="149"/>
      <c r="E5" s="149" t="s">
        <v>6</v>
      </c>
      <c r="F5" s="149" t="s">
        <v>68</v>
      </c>
      <c r="G5" s="150" t="s">
        <v>65</v>
      </c>
      <c r="H5" s="151" t="s">
        <v>135</v>
      </c>
      <c r="I5" s="469"/>
    </row>
    <row r="6" spans="1:9" x14ac:dyDescent="0.25">
      <c r="A6" s="142" t="s">
        <v>8</v>
      </c>
      <c r="B6" s="143" t="s">
        <v>9</v>
      </c>
      <c r="C6" s="143" t="s">
        <v>10</v>
      </c>
      <c r="D6" s="144" t="s">
        <v>11</v>
      </c>
      <c r="E6" s="304" t="s">
        <v>98</v>
      </c>
      <c r="F6" s="145" t="s">
        <v>98</v>
      </c>
      <c r="G6" s="146" t="s">
        <v>98</v>
      </c>
      <c r="H6" s="146" t="s">
        <v>70</v>
      </c>
      <c r="I6" s="147">
        <v>5</v>
      </c>
    </row>
    <row r="7" spans="1:9" x14ac:dyDescent="0.25">
      <c r="A7" s="29" t="s">
        <v>15</v>
      </c>
      <c r="B7" s="30" t="s">
        <v>12</v>
      </c>
      <c r="C7" s="30" t="s">
        <v>13</v>
      </c>
      <c r="D7" s="31" t="s">
        <v>14</v>
      </c>
      <c r="E7" s="305">
        <v>8</v>
      </c>
      <c r="F7" s="1">
        <v>8</v>
      </c>
      <c r="G7" s="79">
        <f>(F7/E7)*100</f>
        <v>100</v>
      </c>
      <c r="H7" s="141">
        <f>IF(G7&lt;99,0,1)</f>
        <v>1</v>
      </c>
      <c r="I7" s="9">
        <f>H7*5</f>
        <v>5</v>
      </c>
    </row>
    <row r="8" spans="1:9" x14ac:dyDescent="0.25">
      <c r="A8" s="29" t="s">
        <v>16</v>
      </c>
      <c r="B8" s="30" t="s">
        <v>22</v>
      </c>
      <c r="C8" s="30" t="s">
        <v>23</v>
      </c>
      <c r="D8" s="31" t="s">
        <v>24</v>
      </c>
      <c r="E8" s="305" t="s">
        <v>98</v>
      </c>
      <c r="F8" s="1" t="s">
        <v>98</v>
      </c>
      <c r="G8" s="79" t="s">
        <v>98</v>
      </c>
      <c r="H8" s="2" t="s">
        <v>70</v>
      </c>
      <c r="I8" s="9">
        <v>5</v>
      </c>
    </row>
    <row r="9" spans="1:9" ht="18.75" customHeight="1" x14ac:dyDescent="0.25">
      <c r="A9" s="29" t="s">
        <v>17</v>
      </c>
      <c r="B9" s="30" t="s">
        <v>25</v>
      </c>
      <c r="C9" s="30" t="s">
        <v>26</v>
      </c>
      <c r="D9" s="31" t="s">
        <v>27</v>
      </c>
      <c r="E9" s="305" t="s">
        <v>98</v>
      </c>
      <c r="F9" s="1" t="s">
        <v>98</v>
      </c>
      <c r="G9" s="79" t="s">
        <v>98</v>
      </c>
      <c r="H9" s="2" t="s">
        <v>70</v>
      </c>
      <c r="I9" s="9">
        <v>5</v>
      </c>
    </row>
    <row r="10" spans="1:9" ht="31.5" x14ac:dyDescent="0.25">
      <c r="A10" s="29" t="s">
        <v>18</v>
      </c>
      <c r="B10" s="30" t="s">
        <v>28</v>
      </c>
      <c r="C10" s="30" t="s">
        <v>29</v>
      </c>
      <c r="D10" s="31" t="s">
        <v>30</v>
      </c>
      <c r="E10" s="305" t="s">
        <v>98</v>
      </c>
      <c r="F10" s="1" t="s">
        <v>98</v>
      </c>
      <c r="G10" s="79" t="s">
        <v>98</v>
      </c>
      <c r="H10" s="2" t="s">
        <v>70</v>
      </c>
      <c r="I10" s="9">
        <v>5</v>
      </c>
    </row>
    <row r="11" spans="1:9" ht="18" customHeight="1" x14ac:dyDescent="0.25">
      <c r="A11" s="29" t="s">
        <v>19</v>
      </c>
      <c r="B11" s="30" t="s">
        <v>31</v>
      </c>
      <c r="C11" s="30" t="s">
        <v>32</v>
      </c>
      <c r="D11" s="31" t="s">
        <v>33</v>
      </c>
      <c r="E11" s="305" t="s">
        <v>98</v>
      </c>
      <c r="F11" s="1" t="s">
        <v>98</v>
      </c>
      <c r="G11" s="79" t="s">
        <v>98</v>
      </c>
      <c r="H11" s="2" t="s">
        <v>70</v>
      </c>
      <c r="I11" s="9">
        <v>5</v>
      </c>
    </row>
    <row r="12" spans="1:9" x14ac:dyDescent="0.25">
      <c r="A12" s="29" t="s">
        <v>20</v>
      </c>
      <c r="B12" s="30" t="s">
        <v>34</v>
      </c>
      <c r="C12" s="30" t="s">
        <v>35</v>
      </c>
      <c r="D12" s="31" t="s">
        <v>36</v>
      </c>
      <c r="E12" s="305">
        <v>1</v>
      </c>
      <c r="F12" s="1">
        <v>1</v>
      </c>
      <c r="G12" s="79">
        <f>(F12/E12)*100</f>
        <v>100</v>
      </c>
      <c r="H12" s="141">
        <f t="shared" ref="H12" si="0">IF(G12&lt;99,0,1)</f>
        <v>1</v>
      </c>
      <c r="I12" s="9">
        <f>H12*5</f>
        <v>5</v>
      </c>
    </row>
    <row r="13" spans="1:9" x14ac:dyDescent="0.25">
      <c r="A13" s="29" t="s">
        <v>21</v>
      </c>
      <c r="B13" s="30" t="s">
        <v>40</v>
      </c>
      <c r="C13" s="30" t="s">
        <v>38</v>
      </c>
      <c r="D13" s="31" t="s">
        <v>39</v>
      </c>
      <c r="E13" s="305">
        <v>94</v>
      </c>
      <c r="F13" s="1">
        <v>94</v>
      </c>
      <c r="G13" s="79">
        <f t="shared" ref="G13:G16" si="1">(F13/E13)*100</f>
        <v>100</v>
      </c>
      <c r="H13" s="141">
        <f>IF(G13&lt;99,0,1)</f>
        <v>1</v>
      </c>
      <c r="I13" s="9">
        <f>H13*5</f>
        <v>5</v>
      </c>
    </row>
    <row r="14" spans="1:9" x14ac:dyDescent="0.25">
      <c r="A14" s="32">
        <v>9</v>
      </c>
      <c r="B14" s="30" t="s">
        <v>41</v>
      </c>
      <c r="C14" s="30" t="s">
        <v>42</v>
      </c>
      <c r="D14" s="31" t="s">
        <v>43</v>
      </c>
      <c r="E14" s="305">
        <v>7</v>
      </c>
      <c r="F14" s="1">
        <v>7</v>
      </c>
      <c r="G14" s="79">
        <f t="shared" si="1"/>
        <v>100</v>
      </c>
      <c r="H14" s="141">
        <f>IF(G14&lt;99,0,1)</f>
        <v>1</v>
      </c>
      <c r="I14" s="9">
        <f t="shared" ref="I14:I16" si="2">H14*5</f>
        <v>5</v>
      </c>
    </row>
    <row r="15" spans="1:9" x14ac:dyDescent="0.25">
      <c r="A15" s="32">
        <v>10</v>
      </c>
      <c r="B15" s="30" t="s">
        <v>44</v>
      </c>
      <c r="C15" s="30" t="s">
        <v>45</v>
      </c>
      <c r="D15" s="31" t="s">
        <v>46</v>
      </c>
      <c r="E15" s="305">
        <v>2</v>
      </c>
      <c r="F15" s="1">
        <v>2</v>
      </c>
      <c r="G15" s="79">
        <f t="shared" si="1"/>
        <v>100</v>
      </c>
      <c r="H15" s="141">
        <f>IF(G15&lt;99,0,1)</f>
        <v>1</v>
      </c>
      <c r="I15" s="9">
        <f t="shared" si="2"/>
        <v>5</v>
      </c>
    </row>
    <row r="16" spans="1:9" x14ac:dyDescent="0.25">
      <c r="A16" s="32">
        <v>11</v>
      </c>
      <c r="B16" s="30" t="s">
        <v>47</v>
      </c>
      <c r="C16" s="30" t="s">
        <v>48</v>
      </c>
      <c r="D16" s="31" t="s">
        <v>49</v>
      </c>
      <c r="E16" s="305">
        <v>2</v>
      </c>
      <c r="F16" s="1">
        <v>2</v>
      </c>
      <c r="G16" s="79">
        <f t="shared" si="1"/>
        <v>100</v>
      </c>
      <c r="H16" s="141">
        <f>IF(G16&lt;99,0,1)</f>
        <v>1</v>
      </c>
      <c r="I16" s="9">
        <f t="shared" si="2"/>
        <v>5</v>
      </c>
    </row>
    <row r="17" spans="1:9" ht="18" customHeight="1" x14ac:dyDescent="0.25">
      <c r="A17" s="29" t="s">
        <v>37</v>
      </c>
      <c r="B17" s="30" t="s">
        <v>50</v>
      </c>
      <c r="C17" s="30" t="s">
        <v>51</v>
      </c>
      <c r="D17" s="31" t="s">
        <v>52</v>
      </c>
      <c r="E17" s="305" t="s">
        <v>98</v>
      </c>
      <c r="F17" s="1" t="s">
        <v>98</v>
      </c>
      <c r="G17" s="79" t="s">
        <v>98</v>
      </c>
      <c r="H17" s="2" t="s">
        <v>70</v>
      </c>
      <c r="I17" s="9">
        <v>5</v>
      </c>
    </row>
    <row r="18" spans="1:9" s="36" customFormat="1" ht="16.5" thickBot="1" x14ac:dyDescent="0.3">
      <c r="A18" s="33" t="s">
        <v>19</v>
      </c>
      <c r="B18" s="34"/>
      <c r="C18" s="34"/>
      <c r="D18" s="35" t="s">
        <v>58</v>
      </c>
      <c r="E18" s="221">
        <f>E7+E12+E13+E14+E15+E16</f>
        <v>114</v>
      </c>
      <c r="F18" s="220">
        <f>F7+F12+F13+F14+F15+F16</f>
        <v>114</v>
      </c>
      <c r="G18" s="19">
        <f>SUM(G6:G17)</f>
        <v>600</v>
      </c>
      <c r="H18" s="20"/>
      <c r="I18" s="21">
        <f>SUM(I6:I17)/12</f>
        <v>5</v>
      </c>
    </row>
    <row r="19" spans="1:9" x14ac:dyDescent="0.25">
      <c r="A19" s="13"/>
      <c r="B19" s="13"/>
      <c r="C19" s="13"/>
      <c r="D19" s="13"/>
      <c r="E19" s="13"/>
      <c r="F19" s="14"/>
      <c r="G19" s="16"/>
    </row>
    <row r="20" spans="1:9" x14ac:dyDescent="0.25">
      <c r="A20" s="13"/>
      <c r="B20" s="13"/>
      <c r="C20" s="13"/>
      <c r="D20" s="13" t="s">
        <v>55</v>
      </c>
      <c r="E20" s="14"/>
      <c r="G20" s="16">
        <f>G18/A18</f>
        <v>100</v>
      </c>
    </row>
    <row r="21" spans="1:9" x14ac:dyDescent="0.25">
      <c r="A21" s="13"/>
      <c r="B21" s="13"/>
      <c r="C21" s="13"/>
      <c r="D21" s="13"/>
      <c r="E21" s="13"/>
      <c r="F21" s="37"/>
    </row>
    <row r="22" spans="1:9" s="15" customFormat="1" x14ac:dyDescent="0.25">
      <c r="A22" s="391" t="s">
        <v>89</v>
      </c>
      <c r="B22" s="391"/>
      <c r="C22" s="391"/>
      <c r="D22" s="391"/>
      <c r="E22" s="391"/>
      <c r="F22" s="391"/>
      <c r="G22" s="391"/>
      <c r="H22" s="391"/>
      <c r="I22" s="391"/>
    </row>
    <row r="23" spans="1:9" s="15" customFormat="1" x14ac:dyDescent="0.25">
      <c r="A23" s="382"/>
      <c r="B23" s="383"/>
      <c r="C23" s="384"/>
    </row>
  </sheetData>
  <mergeCells count="5">
    <mergeCell ref="E3:G3"/>
    <mergeCell ref="I3:I5"/>
    <mergeCell ref="A1:I1"/>
    <mergeCell ref="A22:I22"/>
    <mergeCell ref="A23:C23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P30"/>
  <sheetViews>
    <sheetView view="pageBreakPreview" topLeftCell="A3" zoomScale="84" zoomScaleNormal="100" zoomScaleSheetLayoutView="84" workbookViewId="0">
      <selection activeCell="E3" sqref="E3"/>
    </sheetView>
  </sheetViews>
  <sheetFormatPr defaultColWidth="9.140625" defaultRowHeight="15.75" x14ac:dyDescent="0.25"/>
  <cols>
    <col min="1" max="1" width="6.28515625" style="15" customWidth="1"/>
    <col min="2" max="2" width="7" style="15" customWidth="1"/>
    <col min="3" max="3" width="15.7109375" style="15" customWidth="1"/>
    <col min="4" max="4" width="52.42578125" style="15" customWidth="1"/>
    <col min="5" max="5" width="26.7109375" style="15" customWidth="1"/>
    <col min="6" max="6" width="12" style="15" customWidth="1"/>
    <col min="7" max="7" width="19.42578125" style="15" customWidth="1"/>
    <col min="8" max="8" width="12.5703125" style="15" customWidth="1"/>
    <col min="9" max="16384" width="9.140625" style="15"/>
  </cols>
  <sheetData>
    <row r="1" spans="1:172" ht="18.75" customHeight="1" x14ac:dyDescent="0.25">
      <c r="A1" s="456" t="s">
        <v>186</v>
      </c>
      <c r="B1" s="456"/>
      <c r="C1" s="456"/>
      <c r="D1" s="456"/>
      <c r="E1" s="456"/>
      <c r="F1" s="456"/>
      <c r="G1" s="456"/>
      <c r="H1" s="456"/>
    </row>
    <row r="2" spans="1:172" ht="16.5" thickBot="1" x14ac:dyDescent="0.3">
      <c r="D2" s="244" t="s">
        <v>75</v>
      </c>
      <c r="E2" s="245" t="s">
        <v>206</v>
      </c>
    </row>
    <row r="3" spans="1:172" ht="31.5" customHeight="1" thickBot="1" x14ac:dyDescent="0.3">
      <c r="A3" s="69" t="s">
        <v>0</v>
      </c>
      <c r="B3" s="49"/>
      <c r="C3" s="50" t="s">
        <v>1</v>
      </c>
      <c r="D3" s="109" t="s">
        <v>2</v>
      </c>
      <c r="E3" s="246"/>
      <c r="F3" s="104"/>
      <c r="G3" s="438" t="s">
        <v>189</v>
      </c>
      <c r="H3" s="438" t="s">
        <v>57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</row>
    <row r="4" spans="1:172" ht="165" customHeight="1" thickBot="1" x14ac:dyDescent="0.3">
      <c r="A4" s="49"/>
      <c r="B4" s="70"/>
      <c r="C4" s="70"/>
      <c r="D4" s="110"/>
      <c r="E4" s="11" t="s">
        <v>187</v>
      </c>
      <c r="F4" s="105" t="s">
        <v>79</v>
      </c>
      <c r="G4" s="461"/>
      <c r="H4" s="439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</row>
    <row r="5" spans="1:172" ht="36.75" customHeight="1" thickBot="1" x14ac:dyDescent="0.3">
      <c r="A5" s="81"/>
      <c r="B5" s="51"/>
      <c r="C5" s="51"/>
      <c r="D5" s="68"/>
      <c r="E5" s="51" t="s">
        <v>188</v>
      </c>
      <c r="F5" s="106" t="s">
        <v>143</v>
      </c>
      <c r="G5" s="462"/>
      <c r="H5" s="439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</row>
    <row r="6" spans="1:172" ht="16.5" thickBot="1" x14ac:dyDescent="0.3">
      <c r="A6" s="82" t="s">
        <v>8</v>
      </c>
      <c r="B6" s="54" t="s">
        <v>9</v>
      </c>
      <c r="C6" s="55" t="s">
        <v>10</v>
      </c>
      <c r="D6" s="111" t="s">
        <v>11</v>
      </c>
      <c r="E6" s="8">
        <v>0</v>
      </c>
      <c r="F6" s="107">
        <f>E6</f>
        <v>0</v>
      </c>
      <c r="G6" s="102">
        <f>IF(F6&gt;10,0,1-(F6/100))</f>
        <v>1</v>
      </c>
      <c r="H6" s="223">
        <v>5</v>
      </c>
    </row>
    <row r="7" spans="1:172" ht="18.75" customHeight="1" thickBot="1" x14ac:dyDescent="0.3">
      <c r="A7" s="56" t="s">
        <v>15</v>
      </c>
      <c r="B7" s="57" t="s">
        <v>12</v>
      </c>
      <c r="C7" s="58" t="s">
        <v>13</v>
      </c>
      <c r="D7" s="112" t="s">
        <v>14</v>
      </c>
      <c r="E7" s="8">
        <v>0</v>
      </c>
      <c r="F7" s="107">
        <f t="shared" ref="F7:F18" si="0">E7</f>
        <v>0</v>
      </c>
      <c r="G7" s="103">
        <f>IF(F7&gt;10,0,1-(F7/100))</f>
        <v>1</v>
      </c>
      <c r="H7" s="108">
        <f>G7*5</f>
        <v>5</v>
      </c>
    </row>
    <row r="8" spans="1:172" ht="16.5" thickBot="1" x14ac:dyDescent="0.3">
      <c r="A8" s="56" t="s">
        <v>16</v>
      </c>
      <c r="B8" s="57" t="s">
        <v>22</v>
      </c>
      <c r="C8" s="58" t="s">
        <v>23</v>
      </c>
      <c r="D8" s="112" t="s">
        <v>24</v>
      </c>
      <c r="E8" s="8">
        <v>0</v>
      </c>
      <c r="F8" s="107">
        <f t="shared" si="0"/>
        <v>0</v>
      </c>
      <c r="G8" s="103">
        <f t="shared" ref="G8:G17" si="1">IF(F8&gt;10,0,1-(F8/100))</f>
        <v>1</v>
      </c>
      <c r="H8" s="108">
        <v>5</v>
      </c>
    </row>
    <row r="9" spans="1:172" ht="32.25" thickBot="1" x14ac:dyDescent="0.3">
      <c r="A9" s="56" t="s">
        <v>17</v>
      </c>
      <c r="B9" s="57" t="s">
        <v>25</v>
      </c>
      <c r="C9" s="58" t="s">
        <v>26</v>
      </c>
      <c r="D9" s="112" t="s">
        <v>27</v>
      </c>
      <c r="E9" s="8">
        <v>0</v>
      </c>
      <c r="F9" s="107">
        <f t="shared" si="0"/>
        <v>0</v>
      </c>
      <c r="G9" s="103">
        <f t="shared" si="1"/>
        <v>1</v>
      </c>
      <c r="H9" s="108">
        <v>5</v>
      </c>
    </row>
    <row r="10" spans="1:172" ht="32.25" thickBot="1" x14ac:dyDescent="0.3">
      <c r="A10" s="56" t="s">
        <v>18</v>
      </c>
      <c r="B10" s="57" t="s">
        <v>28</v>
      </c>
      <c r="C10" s="58" t="s">
        <v>29</v>
      </c>
      <c r="D10" s="112" t="s">
        <v>30</v>
      </c>
      <c r="E10" s="8">
        <v>0</v>
      </c>
      <c r="F10" s="107">
        <f t="shared" si="0"/>
        <v>0</v>
      </c>
      <c r="G10" s="103">
        <f t="shared" si="1"/>
        <v>1</v>
      </c>
      <c r="H10" s="108">
        <v>5</v>
      </c>
    </row>
    <row r="11" spans="1:172" ht="19.5" customHeight="1" thickBot="1" x14ac:dyDescent="0.3">
      <c r="A11" s="56" t="s">
        <v>19</v>
      </c>
      <c r="B11" s="57" t="s">
        <v>31</v>
      </c>
      <c r="C11" s="58" t="s">
        <v>32</v>
      </c>
      <c r="D11" s="112" t="s">
        <v>33</v>
      </c>
      <c r="E11" s="8">
        <v>0</v>
      </c>
      <c r="F11" s="107">
        <f t="shared" si="0"/>
        <v>0</v>
      </c>
      <c r="G11" s="103">
        <f t="shared" si="1"/>
        <v>1</v>
      </c>
      <c r="H11" s="108">
        <v>5</v>
      </c>
    </row>
    <row r="12" spans="1:172" ht="16.5" thickBot="1" x14ac:dyDescent="0.3">
      <c r="A12" s="56" t="s">
        <v>20</v>
      </c>
      <c r="B12" s="57" t="s">
        <v>34</v>
      </c>
      <c r="C12" s="58" t="s">
        <v>35</v>
      </c>
      <c r="D12" s="112" t="s">
        <v>36</v>
      </c>
      <c r="E12" s="8">
        <v>0</v>
      </c>
      <c r="F12" s="107">
        <f t="shared" si="0"/>
        <v>0</v>
      </c>
      <c r="G12" s="103">
        <f t="shared" si="1"/>
        <v>1</v>
      </c>
      <c r="H12" s="108">
        <v>5</v>
      </c>
    </row>
    <row r="13" spans="1:172" ht="16.5" thickBot="1" x14ac:dyDescent="0.3">
      <c r="A13" s="56" t="s">
        <v>21</v>
      </c>
      <c r="B13" s="57" t="s">
        <v>40</v>
      </c>
      <c r="C13" s="58" t="s">
        <v>38</v>
      </c>
      <c r="D13" s="112" t="s">
        <v>39</v>
      </c>
      <c r="E13" s="8">
        <v>0</v>
      </c>
      <c r="F13" s="107">
        <f t="shared" si="0"/>
        <v>0</v>
      </c>
      <c r="G13" s="103">
        <f t="shared" si="1"/>
        <v>1</v>
      </c>
      <c r="H13" s="108">
        <v>5</v>
      </c>
    </row>
    <row r="14" spans="1:172" ht="16.5" thickBot="1" x14ac:dyDescent="0.3">
      <c r="A14" s="60">
        <v>9</v>
      </c>
      <c r="B14" s="57" t="s">
        <v>41</v>
      </c>
      <c r="C14" s="58" t="s">
        <v>42</v>
      </c>
      <c r="D14" s="112" t="s">
        <v>43</v>
      </c>
      <c r="E14" s="8">
        <v>0</v>
      </c>
      <c r="F14" s="107">
        <f t="shared" si="0"/>
        <v>0</v>
      </c>
      <c r="G14" s="103">
        <f t="shared" si="1"/>
        <v>1</v>
      </c>
      <c r="H14" s="108">
        <v>5</v>
      </c>
    </row>
    <row r="15" spans="1:172" ht="16.5" thickBot="1" x14ac:dyDescent="0.3">
      <c r="A15" s="60">
        <v>10</v>
      </c>
      <c r="B15" s="57" t="s">
        <v>44</v>
      </c>
      <c r="C15" s="58" t="s">
        <v>45</v>
      </c>
      <c r="D15" s="112" t="s">
        <v>46</v>
      </c>
      <c r="E15" s="8">
        <v>0</v>
      </c>
      <c r="F15" s="107">
        <f t="shared" si="0"/>
        <v>0</v>
      </c>
      <c r="G15" s="103">
        <f t="shared" si="1"/>
        <v>1</v>
      </c>
      <c r="H15" s="108">
        <v>5</v>
      </c>
    </row>
    <row r="16" spans="1:172" ht="16.5" thickBot="1" x14ac:dyDescent="0.3">
      <c r="A16" s="60">
        <v>11</v>
      </c>
      <c r="B16" s="57" t="s">
        <v>47</v>
      </c>
      <c r="C16" s="58" t="s">
        <v>48</v>
      </c>
      <c r="D16" s="112" t="s">
        <v>49</v>
      </c>
      <c r="E16" s="8">
        <v>0</v>
      </c>
      <c r="F16" s="107">
        <f t="shared" si="0"/>
        <v>0</v>
      </c>
      <c r="G16" s="103">
        <f t="shared" si="1"/>
        <v>1</v>
      </c>
      <c r="H16" s="108">
        <v>5</v>
      </c>
    </row>
    <row r="17" spans="1:8" ht="35.25" customHeight="1" thickBot="1" x14ac:dyDescent="0.3">
      <c r="A17" s="56" t="s">
        <v>37</v>
      </c>
      <c r="B17" s="57" t="s">
        <v>50</v>
      </c>
      <c r="C17" s="58" t="s">
        <v>51</v>
      </c>
      <c r="D17" s="112" t="s">
        <v>52</v>
      </c>
      <c r="E17" s="8">
        <v>0</v>
      </c>
      <c r="F17" s="107">
        <f t="shared" si="0"/>
        <v>0</v>
      </c>
      <c r="G17" s="103">
        <f t="shared" si="1"/>
        <v>1</v>
      </c>
      <c r="H17" s="108">
        <v>5</v>
      </c>
    </row>
    <row r="18" spans="1:8" s="64" customFormat="1" ht="16.5" thickBot="1" x14ac:dyDescent="0.3">
      <c r="A18" s="61" t="s">
        <v>37</v>
      </c>
      <c r="B18" s="62"/>
      <c r="C18" s="63"/>
      <c r="D18" s="113" t="s">
        <v>58</v>
      </c>
      <c r="E18" s="18">
        <f>E6+E7+E8+E9+E10+E11+E12+E13+E14+E15+E16+E17</f>
        <v>0</v>
      </c>
      <c r="F18" s="107">
        <f t="shared" si="0"/>
        <v>0</v>
      </c>
      <c r="G18" s="224">
        <v>1</v>
      </c>
      <c r="H18" s="225">
        <v>5</v>
      </c>
    </row>
    <row r="19" spans="1:8" ht="15.6" x14ac:dyDescent="0.3">
      <c r="G19" s="80"/>
    </row>
    <row r="20" spans="1:8" x14ac:dyDescent="0.25">
      <c r="A20" s="391" t="s">
        <v>124</v>
      </c>
      <c r="B20" s="391"/>
      <c r="C20" s="391"/>
      <c r="D20" s="391"/>
      <c r="E20" s="391"/>
    </row>
    <row r="21" spans="1:8" ht="15.6" x14ac:dyDescent="0.3">
      <c r="A21" s="441"/>
      <c r="B21" s="391"/>
      <c r="C21" s="442"/>
    </row>
    <row r="28" spans="1:8" x14ac:dyDescent="0.25">
      <c r="E28" s="66"/>
    </row>
    <row r="30" spans="1:8" x14ac:dyDescent="0.25">
      <c r="A30" s="67"/>
      <c r="B30" s="67"/>
      <c r="D30" s="48"/>
    </row>
  </sheetData>
  <mergeCells count="5">
    <mergeCell ref="A1:H1"/>
    <mergeCell ref="G3:G5"/>
    <mergeCell ref="H3:H5"/>
    <mergeCell ref="A20:E20"/>
    <mergeCell ref="A21:C21"/>
  </mergeCells>
  <pageMargins left="0.7" right="0.7" top="0.75" bottom="0.75" header="0.3" footer="0.3"/>
  <pageSetup paperSize="9" scale="8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4"/>
  <sheetViews>
    <sheetView tabSelected="1" view="pageBreakPreview" zoomScale="87" zoomScaleNormal="110" zoomScaleSheetLayoutView="87" workbookViewId="0">
      <selection activeCell="AE24" sqref="AE24"/>
    </sheetView>
  </sheetViews>
  <sheetFormatPr defaultColWidth="9.140625" defaultRowHeight="15.75" x14ac:dyDescent="0.25"/>
  <cols>
    <col min="1" max="1" width="3.85546875" style="22" customWidth="1"/>
    <col min="2" max="2" width="5.28515625" style="22" customWidth="1"/>
    <col min="3" max="3" width="14" style="22" customWidth="1"/>
    <col min="4" max="4" width="35.42578125" style="22" customWidth="1"/>
    <col min="5" max="5" width="5.28515625" style="22" customWidth="1"/>
    <col min="6" max="6" width="5" style="22" customWidth="1"/>
    <col min="7" max="7" width="5.28515625" style="15" customWidth="1"/>
    <col min="8" max="8" width="5.5703125" style="15" customWidth="1"/>
    <col min="9" max="9" width="5.7109375" style="15" customWidth="1"/>
    <col min="10" max="10" width="5.28515625" style="15" customWidth="1"/>
    <col min="11" max="11" width="6" style="15" customWidth="1"/>
    <col min="12" max="12" width="6.7109375" style="15" customWidth="1"/>
    <col min="13" max="14" width="6.140625" style="15" customWidth="1"/>
    <col min="15" max="15" width="5.140625" style="15" customWidth="1"/>
    <col min="16" max="16" width="5.5703125" style="15" customWidth="1"/>
    <col min="17" max="17" width="6.5703125" style="15" customWidth="1"/>
    <col min="18" max="18" width="5" style="15" customWidth="1"/>
    <col min="19" max="19" width="4.85546875" style="15" customWidth="1"/>
    <col min="20" max="20" width="6.140625" style="15" customWidth="1"/>
    <col min="21" max="21" width="4.5703125" style="15" customWidth="1"/>
    <col min="22" max="22" width="17.5703125" style="15" customWidth="1"/>
    <col min="23" max="23" width="12.140625" style="15" customWidth="1"/>
    <col min="24" max="24" width="6.28515625" style="22" customWidth="1"/>
    <col min="25" max="25" width="6.7109375" style="22" customWidth="1"/>
    <col min="26" max="26" width="6.85546875" style="22" customWidth="1"/>
    <col min="27" max="27" width="6.28515625" style="22" customWidth="1"/>
    <col min="28" max="28" width="7.28515625" style="22" customWidth="1"/>
    <col min="29" max="29" width="6.5703125" style="22" customWidth="1"/>
    <col min="30" max="31" width="6" style="22" customWidth="1"/>
    <col min="32" max="32" width="7.28515625" style="22" customWidth="1"/>
    <col min="33" max="33" width="6.28515625" style="22" customWidth="1"/>
    <col min="34" max="34" width="6.140625" style="22" customWidth="1"/>
    <col min="35" max="35" width="6.28515625" style="22" customWidth="1"/>
    <col min="36" max="36" width="6.7109375" style="22" customWidth="1"/>
    <col min="37" max="37" width="6.5703125" style="22" customWidth="1"/>
    <col min="38" max="38" width="5.42578125" style="22" customWidth="1"/>
    <col min="39" max="39" width="7.140625" style="22" customWidth="1"/>
    <col min="40" max="40" width="6.140625" style="22" customWidth="1"/>
    <col min="41" max="43" width="9.140625" style="22"/>
    <col min="44" max="44" width="10.140625" style="22" bestFit="1" customWidth="1"/>
    <col min="45" max="16384" width="9.140625" style="22"/>
  </cols>
  <sheetData>
    <row r="1" spans="1:48" ht="25.15" customHeight="1" x14ac:dyDescent="0.25">
      <c r="A1" s="470" t="s">
        <v>194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</row>
    <row r="2" spans="1:48" ht="22.15" customHeight="1" thickBot="1" x14ac:dyDescent="0.3">
      <c r="A2" s="504" t="s">
        <v>218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</row>
    <row r="3" spans="1:48" ht="51.75" customHeight="1" thickBot="1" x14ac:dyDescent="0.3">
      <c r="A3" s="491" t="s">
        <v>0</v>
      </c>
      <c r="B3" s="493" t="s">
        <v>107</v>
      </c>
      <c r="C3" s="493" t="s">
        <v>1</v>
      </c>
      <c r="D3" s="495" t="s">
        <v>163</v>
      </c>
      <c r="E3" s="497" t="s">
        <v>165</v>
      </c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87" t="s">
        <v>164</v>
      </c>
      <c r="W3" s="487" t="s">
        <v>183</v>
      </c>
    </row>
    <row r="4" spans="1:48" ht="25.9" customHeight="1" thickBot="1" x14ac:dyDescent="0.3">
      <c r="A4" s="492"/>
      <c r="B4" s="494"/>
      <c r="C4" s="494"/>
      <c r="D4" s="496"/>
      <c r="E4" s="281" t="s">
        <v>166</v>
      </c>
      <c r="F4" s="282" t="s">
        <v>167</v>
      </c>
      <c r="G4" s="282" t="s">
        <v>168</v>
      </c>
      <c r="H4" s="282" t="s">
        <v>169</v>
      </c>
      <c r="I4" s="282" t="s">
        <v>170</v>
      </c>
      <c r="J4" s="282" t="s">
        <v>171</v>
      </c>
      <c r="K4" s="282" t="s">
        <v>172</v>
      </c>
      <c r="L4" s="282" t="s">
        <v>173</v>
      </c>
      <c r="M4" s="282" t="s">
        <v>174</v>
      </c>
      <c r="N4" s="282" t="s">
        <v>175</v>
      </c>
      <c r="O4" s="282" t="s">
        <v>176</v>
      </c>
      <c r="P4" s="282" t="s">
        <v>177</v>
      </c>
      <c r="Q4" s="282" t="s">
        <v>178</v>
      </c>
      <c r="R4" s="282" t="s">
        <v>179</v>
      </c>
      <c r="S4" s="297" t="s">
        <v>180</v>
      </c>
      <c r="T4" s="282" t="s">
        <v>181</v>
      </c>
      <c r="U4" s="283" t="s">
        <v>182</v>
      </c>
      <c r="V4" s="488"/>
      <c r="W4" s="489"/>
      <c r="X4" s="249" t="s">
        <v>166</v>
      </c>
      <c r="Y4" s="249" t="s">
        <v>167</v>
      </c>
      <c r="Z4" s="249" t="s">
        <v>168</v>
      </c>
      <c r="AA4" s="249" t="s">
        <v>169</v>
      </c>
      <c r="AB4" s="249" t="s">
        <v>170</v>
      </c>
      <c r="AC4" s="249" t="s">
        <v>171</v>
      </c>
      <c r="AD4" s="249" t="s">
        <v>172</v>
      </c>
      <c r="AE4" s="249" t="s">
        <v>173</v>
      </c>
      <c r="AF4" s="249" t="s">
        <v>174</v>
      </c>
      <c r="AG4" s="249" t="s">
        <v>175</v>
      </c>
      <c r="AH4" s="249" t="s">
        <v>176</v>
      </c>
      <c r="AI4" s="249" t="s">
        <v>177</v>
      </c>
      <c r="AJ4" s="249" t="s">
        <v>178</v>
      </c>
      <c r="AK4" s="249" t="s">
        <v>179</v>
      </c>
      <c r="AL4" s="249" t="s">
        <v>180</v>
      </c>
      <c r="AM4" s="249" t="s">
        <v>181</v>
      </c>
      <c r="AN4" s="249" t="s">
        <v>182</v>
      </c>
      <c r="AO4" s="22">
        <v>1</v>
      </c>
      <c r="AQ4" s="22">
        <v>2</v>
      </c>
      <c r="AS4" s="22">
        <v>3</v>
      </c>
      <c r="AU4" s="22">
        <v>4</v>
      </c>
      <c r="AV4" s="22">
        <v>5</v>
      </c>
    </row>
    <row r="5" spans="1:48" ht="32.450000000000003" customHeight="1" x14ac:dyDescent="0.25">
      <c r="A5" s="512" t="s">
        <v>8</v>
      </c>
      <c r="B5" s="512" t="s">
        <v>9</v>
      </c>
      <c r="C5" s="512" t="s">
        <v>10</v>
      </c>
      <c r="D5" s="513" t="s">
        <v>11</v>
      </c>
      <c r="E5" s="514">
        <f>'1.1 Кач. планирования расходов'!I7</f>
        <v>9.8689827219809665</v>
      </c>
      <c r="F5" s="358">
        <f>'1.2. Качество исполнения КП'!AQ7</f>
        <v>4.4607780135398283</v>
      </c>
      <c r="G5" s="358">
        <f>'1.3. Доля неиспользованых БА'!I7</f>
        <v>10</v>
      </c>
      <c r="H5" s="358">
        <f>'1.4 Своевременность принятия БО'!I6</f>
        <v>5</v>
      </c>
      <c r="I5" s="358">
        <f>'1.5 Несоотв. расч-плат док'!I6</f>
        <v>5</v>
      </c>
      <c r="J5" s="358">
        <f>'1.6 Доля отклоненных ПГЗ'!I6</f>
        <v>5</v>
      </c>
      <c r="K5" s="358">
        <f>'1.7. Эффективность исп. МТ '!I5</f>
        <v>5</v>
      </c>
      <c r="L5" s="358">
        <f>'1.8. Эффект.управл. КЗ'!L6</f>
        <v>5</v>
      </c>
      <c r="M5" s="358">
        <f>'1.9. Налчие просроч.КЗ'!G6</f>
        <v>10</v>
      </c>
      <c r="N5" s="358">
        <f>'1.10 Приостановление операций'!H6</f>
        <v>5</v>
      </c>
      <c r="O5" s="358">
        <f>'2.1. Кач-во пл.пост.налог+ненал'!I5</f>
        <v>5</v>
      </c>
      <c r="P5" s="358">
        <f>'2.2. Качество администр. ост.'!I7</f>
        <v>5</v>
      </c>
      <c r="Q5" s="358">
        <f>'2.3 Кач-во управ. просроч.ДЗ'!I7</f>
        <v>5</v>
      </c>
      <c r="R5" s="358">
        <f>'3.1 Степень достовер.отчет'!I6</f>
        <v>5</v>
      </c>
      <c r="S5" s="358">
        <f>'3.2 Нарушение треб. к бюдж.уч.'!H6</f>
        <v>5</v>
      </c>
      <c r="T5" s="358">
        <f>'4 Наличие на сайте ГМУ'!I6</f>
        <v>5</v>
      </c>
      <c r="U5" s="358">
        <f>'5 Управление активами'!H6</f>
        <v>5</v>
      </c>
      <c r="V5" s="359">
        <f>SUM(E5:U5)</f>
        <v>99.329760735520793</v>
      </c>
      <c r="W5" s="515">
        <v>1</v>
      </c>
      <c r="X5" s="271">
        <f>10-E5</f>
        <v>0.13101727801903351</v>
      </c>
      <c r="Y5" s="271">
        <f>5-F5</f>
        <v>0.53922198646017172</v>
      </c>
      <c r="Z5" s="271">
        <f>10-G5</f>
        <v>0</v>
      </c>
      <c r="AA5" s="271">
        <f t="shared" ref="AA5:AE5" si="0">5-H5</f>
        <v>0</v>
      </c>
      <c r="AB5" s="271">
        <f t="shared" si="0"/>
        <v>0</v>
      </c>
      <c r="AC5" s="271">
        <f t="shared" si="0"/>
        <v>0</v>
      </c>
      <c r="AD5" s="271">
        <f t="shared" si="0"/>
        <v>0</v>
      </c>
      <c r="AE5" s="271">
        <f t="shared" si="0"/>
        <v>0</v>
      </c>
      <c r="AF5" s="271">
        <f>10-M5</f>
        <v>0</v>
      </c>
      <c r="AG5" s="271">
        <f t="shared" ref="AG5:AN5" si="1">5-N5</f>
        <v>0</v>
      </c>
      <c r="AH5" s="271">
        <f t="shared" si="1"/>
        <v>0</v>
      </c>
      <c r="AI5" s="271">
        <f t="shared" si="1"/>
        <v>0</v>
      </c>
      <c r="AJ5" s="271">
        <f t="shared" si="1"/>
        <v>0</v>
      </c>
      <c r="AK5" s="271">
        <f t="shared" si="1"/>
        <v>0</v>
      </c>
      <c r="AL5" s="271">
        <f t="shared" si="1"/>
        <v>0</v>
      </c>
      <c r="AM5" s="271">
        <f t="shared" si="1"/>
        <v>0</v>
      </c>
      <c r="AN5" s="271">
        <f t="shared" si="1"/>
        <v>0</v>
      </c>
      <c r="AO5" s="351">
        <f>SUM(X5:AG5)</f>
        <v>0.67023926447920523</v>
      </c>
      <c r="AP5" s="299">
        <f>AO5/65*100</f>
        <v>1.031137329968008</v>
      </c>
      <c r="AQ5" s="299">
        <f>SUM(AH5:AJ5)</f>
        <v>0</v>
      </c>
      <c r="AR5" s="22">
        <f>AQ5/15*100</f>
        <v>0</v>
      </c>
      <c r="AS5" s="299">
        <f>AK5+AL5</f>
        <v>0</v>
      </c>
      <c r="AT5" s="22">
        <f>AS5/10*100</f>
        <v>0</v>
      </c>
      <c r="AU5" s="22">
        <f>AM5/5*100</f>
        <v>0</v>
      </c>
      <c r="AV5" s="22">
        <f>AN5/5*100</f>
        <v>0</v>
      </c>
    </row>
    <row r="6" spans="1:48" ht="31.5" x14ac:dyDescent="0.25">
      <c r="A6" s="29" t="s">
        <v>15</v>
      </c>
      <c r="B6" s="30" t="s">
        <v>12</v>
      </c>
      <c r="C6" s="30" t="s">
        <v>13</v>
      </c>
      <c r="D6" s="31" t="s">
        <v>14</v>
      </c>
      <c r="E6" s="191">
        <f>'1.1 Кач. планирования расходов'!I8</f>
        <v>9.7531667155189634</v>
      </c>
      <c r="F6" s="229">
        <f>'1.2. Качество исполнения КП'!AQ8</f>
        <v>3.8860533493942584</v>
      </c>
      <c r="G6" s="181">
        <f>'1.3. Доля неиспользованых БА'!I8</f>
        <v>10</v>
      </c>
      <c r="H6" s="181">
        <f>'1.4 Своевременность принятия БО'!I7</f>
        <v>5</v>
      </c>
      <c r="I6" s="181">
        <f>'1.5 Несоотв. расч-плат док'!I7</f>
        <v>4.9613932738503772</v>
      </c>
      <c r="J6" s="231">
        <f>'1.6 Доля отклоненных ПГЗ'!I7</f>
        <v>0</v>
      </c>
      <c r="K6" s="231">
        <f>'1.7. Эффективность исп. МТ '!I6</f>
        <v>5</v>
      </c>
      <c r="L6" s="231">
        <f>'1.8. Эффект.управл. КЗ'!L7</f>
        <v>4.9998141932865474</v>
      </c>
      <c r="M6" s="231">
        <f>'1.9. Налчие просроч.КЗ'!G7</f>
        <v>10</v>
      </c>
      <c r="N6" s="231">
        <f>'1.10 Приостановление операций'!H7</f>
        <v>5</v>
      </c>
      <c r="O6" s="231">
        <f>'2.1. Кач-во пл.пост.налог+ненал'!I6</f>
        <v>5</v>
      </c>
      <c r="P6" s="231">
        <f>'2.2. Качество администр. ост.'!I8</f>
        <v>5</v>
      </c>
      <c r="Q6" s="231">
        <f>'2.3 Кач-во управ. просроч.ДЗ'!I8</f>
        <v>0</v>
      </c>
      <c r="R6" s="231">
        <f>'3.1 Степень достовер.отчет'!I7</f>
        <v>5</v>
      </c>
      <c r="S6" s="231">
        <f>'3.2 Нарушение треб. к бюдж.уч.'!H7</f>
        <v>5</v>
      </c>
      <c r="T6" s="231">
        <f>'4 Наличие на сайте ГМУ'!I7</f>
        <v>5</v>
      </c>
      <c r="U6" s="231">
        <f>'5 Управление активами'!H7</f>
        <v>5</v>
      </c>
      <c r="V6" s="146">
        <f>SUM(E6:U6)</f>
        <v>88.600427532050148</v>
      </c>
      <c r="W6" s="313">
        <v>11</v>
      </c>
      <c r="X6" s="271">
        <f>10-E6</f>
        <v>0.24683328448103659</v>
      </c>
      <c r="Y6" s="271">
        <f t="shared" ref="Y6:Y16" si="2">5-F6</f>
        <v>1.1139466506057416</v>
      </c>
      <c r="Z6" s="271">
        <f t="shared" ref="Z6:Z16" si="3">10-G6</f>
        <v>0</v>
      </c>
      <c r="AA6" s="271">
        <f t="shared" ref="AA6:AA16" si="4">5-H6</f>
        <v>0</v>
      </c>
      <c r="AB6" s="271">
        <f t="shared" ref="AB6:AB16" si="5">5-I6</f>
        <v>3.8606726149622794E-2</v>
      </c>
      <c r="AC6" s="271">
        <f t="shared" ref="AC6:AC16" si="6">5-J6</f>
        <v>5</v>
      </c>
      <c r="AD6" s="271">
        <f t="shared" ref="AD6:AD16" si="7">5-K6</f>
        <v>0</v>
      </c>
      <c r="AE6" s="271">
        <f t="shared" ref="AE6:AE16" si="8">5-L6</f>
        <v>1.8580671345258537E-4</v>
      </c>
      <c r="AF6" s="271">
        <f t="shared" ref="AF6:AF16" si="9">10-M6</f>
        <v>0</v>
      </c>
      <c r="AG6" s="271">
        <f t="shared" ref="AG6:AG16" si="10">5-N6</f>
        <v>0</v>
      </c>
      <c r="AH6" s="271">
        <f t="shared" ref="AH6:AH16" si="11">5-O6</f>
        <v>0</v>
      </c>
      <c r="AI6" s="271">
        <f t="shared" ref="AI6:AI16" si="12">5-P6</f>
        <v>0</v>
      </c>
      <c r="AJ6" s="271">
        <f t="shared" ref="AJ6:AJ16" si="13">5-Q6</f>
        <v>5</v>
      </c>
      <c r="AK6" s="271">
        <f t="shared" ref="AK6:AK16" si="14">5-R6</f>
        <v>0</v>
      </c>
      <c r="AL6" s="271">
        <f t="shared" ref="AL6:AL16" si="15">5-S6</f>
        <v>0</v>
      </c>
      <c r="AM6" s="271">
        <f t="shared" ref="AM6:AM16" si="16">5-T6</f>
        <v>0</v>
      </c>
      <c r="AN6" s="271">
        <f t="shared" ref="AN6:AN16" si="17">5-U6</f>
        <v>0</v>
      </c>
      <c r="AO6" s="351">
        <f t="shared" ref="AO6:AO16" si="18">SUM(X6:AG6)</f>
        <v>6.3995724679498531</v>
      </c>
      <c r="AP6" s="361">
        <f t="shared" ref="AP6:AP16" si="19">AO6/65*100</f>
        <v>9.8454961045382365</v>
      </c>
      <c r="AQ6" s="351">
        <f>SUM(AH6:AJ6)</f>
        <v>5</v>
      </c>
      <c r="AR6" s="298">
        <f>AQ6/15*100</f>
        <v>33.333333333333329</v>
      </c>
      <c r="AS6" s="299">
        <f t="shared" ref="AS6:AS16" si="20">AK6+AL6</f>
        <v>0</v>
      </c>
      <c r="AT6" s="353">
        <f t="shared" ref="AT6:AT16" si="21">AS6/10*100</f>
        <v>0</v>
      </c>
      <c r="AU6" s="22">
        <f t="shared" ref="AU6:AU16" si="22">AM6/5*100</f>
        <v>0</v>
      </c>
      <c r="AV6" s="22">
        <f t="shared" ref="AV6:AV16" si="23">AN6/5*100</f>
        <v>0</v>
      </c>
    </row>
    <row r="7" spans="1:48" s="248" customFormat="1" ht="31.5" x14ac:dyDescent="0.25">
      <c r="A7" s="57" t="s">
        <v>16</v>
      </c>
      <c r="B7" s="58" t="s">
        <v>22</v>
      </c>
      <c r="C7" s="58" t="s">
        <v>23</v>
      </c>
      <c r="D7" s="59" t="s">
        <v>24</v>
      </c>
      <c r="E7" s="356">
        <f>'1.1 Кач. планирования расходов'!I9</f>
        <v>9.9982862098159035</v>
      </c>
      <c r="F7" s="181">
        <f>'1.2. Качество исполнения КП'!AQ9</f>
        <v>4.156014082105508</v>
      </c>
      <c r="G7" s="181">
        <f>'1.3. Доля неиспользованых БА'!I9</f>
        <v>10</v>
      </c>
      <c r="H7" s="181">
        <f>'1.4 Своевременность принятия БО'!I8</f>
        <v>5</v>
      </c>
      <c r="I7" s="181">
        <f>'1.5 Несоотв. расч-плат док'!I8</f>
        <v>4.9851190476190474</v>
      </c>
      <c r="J7" s="231">
        <f>'1.6 Доля отклоненных ПГЗ'!I8</f>
        <v>5</v>
      </c>
      <c r="K7" s="231">
        <f>'1.7. Эффективность исп. МТ '!I7</f>
        <v>5</v>
      </c>
      <c r="L7" s="231">
        <f>'1.8. Эффект.управл. КЗ'!L8</f>
        <v>5</v>
      </c>
      <c r="M7" s="231">
        <f>'1.9. Налчие просроч.КЗ'!G8</f>
        <v>10</v>
      </c>
      <c r="N7" s="231">
        <f>'1.10 Приостановление операций'!H8</f>
        <v>5</v>
      </c>
      <c r="O7" s="231">
        <f>'2.1. Кач-во пл.пост.налог+ненал'!I7</f>
        <v>5</v>
      </c>
      <c r="P7" s="231">
        <f>'2.2. Качество администр. ост.'!I9</f>
        <v>5</v>
      </c>
      <c r="Q7" s="231">
        <f>'2.3 Кач-во управ. просроч.ДЗ'!I9</f>
        <v>5</v>
      </c>
      <c r="R7" s="231">
        <f>'3.1 Степень достовер.отчет'!I8</f>
        <v>5</v>
      </c>
      <c r="S7" s="231">
        <f>'3.2 Нарушение треб. к бюдж.уч.'!H8</f>
        <v>5</v>
      </c>
      <c r="T7" s="231">
        <f>'4 Наличие на сайте ГМУ'!I8</f>
        <v>5</v>
      </c>
      <c r="U7" s="231">
        <f>'5 Управление активами'!H8</f>
        <v>5</v>
      </c>
      <c r="V7" s="146">
        <f t="shared" ref="V7:V16" si="24">SUM(E7:U7)</f>
        <v>99.139419339540467</v>
      </c>
      <c r="W7" s="313">
        <v>3</v>
      </c>
      <c r="X7" s="272">
        <f t="shared" ref="X7:X16" si="25">10-E7</f>
        <v>1.7137901840964531E-3</v>
      </c>
      <c r="Y7" s="272">
        <f t="shared" si="2"/>
        <v>0.84398591789449195</v>
      </c>
      <c r="Z7" s="271">
        <f t="shared" si="3"/>
        <v>0</v>
      </c>
      <c r="AA7" s="272">
        <f t="shared" si="4"/>
        <v>0</v>
      </c>
      <c r="AB7" s="272">
        <f t="shared" si="5"/>
        <v>1.488095238095255E-2</v>
      </c>
      <c r="AC7" s="272">
        <f t="shared" si="6"/>
        <v>0</v>
      </c>
      <c r="AD7" s="272">
        <f t="shared" si="7"/>
        <v>0</v>
      </c>
      <c r="AE7" s="272">
        <f t="shared" si="8"/>
        <v>0</v>
      </c>
      <c r="AF7" s="272">
        <f t="shared" si="9"/>
        <v>0</v>
      </c>
      <c r="AG7" s="272">
        <f t="shared" si="10"/>
        <v>0</v>
      </c>
      <c r="AH7" s="272">
        <f t="shared" si="11"/>
        <v>0</v>
      </c>
      <c r="AI7" s="272">
        <f t="shared" si="12"/>
        <v>0</v>
      </c>
      <c r="AJ7" s="272">
        <f t="shared" si="13"/>
        <v>0</v>
      </c>
      <c r="AK7" s="272">
        <f t="shared" si="14"/>
        <v>0</v>
      </c>
      <c r="AL7" s="272">
        <f t="shared" si="15"/>
        <v>0</v>
      </c>
      <c r="AM7" s="272">
        <f t="shared" si="16"/>
        <v>0</v>
      </c>
      <c r="AN7" s="272">
        <f t="shared" si="17"/>
        <v>0</v>
      </c>
      <c r="AO7" s="351">
        <f t="shared" si="18"/>
        <v>0.86058066045954096</v>
      </c>
      <c r="AP7" s="299">
        <f t="shared" si="19"/>
        <v>1.3239702468608323</v>
      </c>
      <c r="AQ7" s="351">
        <f t="shared" ref="AQ6:AQ16" si="26">SUM(AH7:AJ7)</f>
        <v>0</v>
      </c>
      <c r="AR7" s="353">
        <f t="shared" ref="AR7:AR15" si="27">AQ7/15*100</f>
        <v>0</v>
      </c>
      <c r="AS7" s="299">
        <f t="shared" si="20"/>
        <v>0</v>
      </c>
      <c r="AT7" s="22">
        <f t="shared" si="21"/>
        <v>0</v>
      </c>
      <c r="AU7" s="22">
        <f t="shared" si="22"/>
        <v>0</v>
      </c>
      <c r="AV7" s="22">
        <f t="shared" si="23"/>
        <v>0</v>
      </c>
    </row>
    <row r="8" spans="1:48" ht="33.6" customHeight="1" x14ac:dyDescent="0.25">
      <c r="A8" s="57" t="s">
        <v>17</v>
      </c>
      <c r="B8" s="58" t="s">
        <v>25</v>
      </c>
      <c r="C8" s="58" t="s">
        <v>26</v>
      </c>
      <c r="D8" s="59" t="s">
        <v>27</v>
      </c>
      <c r="E8" s="379">
        <f>'1.1 Кач. планирования расходов'!I10</f>
        <v>9.9985026097373151</v>
      </c>
      <c r="F8" s="181">
        <f>'1.2. Качество исполнения КП'!AQ10</f>
        <v>4.2188828052150278</v>
      </c>
      <c r="G8" s="181">
        <f>'1.3. Доля неиспользованых БА'!I10</f>
        <v>10</v>
      </c>
      <c r="H8" s="181">
        <f>'1.4 Своевременность принятия БО'!I9</f>
        <v>5</v>
      </c>
      <c r="I8" s="181">
        <f>'1.5 Несоотв. расч-плат док'!I9</f>
        <v>5</v>
      </c>
      <c r="J8" s="231">
        <f>'1.6 Доля отклоненных ПГЗ'!I9</f>
        <v>5</v>
      </c>
      <c r="K8" s="231">
        <f>'1.7. Эффективность исп. МТ '!I8</f>
        <v>5</v>
      </c>
      <c r="L8" s="231">
        <f>'1.8. Эффект.управл. КЗ'!L9</f>
        <v>5</v>
      </c>
      <c r="M8" s="231">
        <f>'1.9. Налчие просроч.КЗ'!G9</f>
        <v>10</v>
      </c>
      <c r="N8" s="231">
        <f>'1.10 Приостановление операций'!H9</f>
        <v>5</v>
      </c>
      <c r="O8" s="231">
        <f>'2.1. Кач-во пл.пост.налог+ненал'!I8</f>
        <v>5</v>
      </c>
      <c r="P8" s="231">
        <f>'2.2. Качество администр. ост.'!I10</f>
        <v>5</v>
      </c>
      <c r="Q8" s="231">
        <f>'2.3 Кач-во управ. просроч.ДЗ'!I10</f>
        <v>5</v>
      </c>
      <c r="R8" s="231">
        <f>'3.1 Степень достовер.отчет'!I9</f>
        <v>5</v>
      </c>
      <c r="S8" s="231">
        <f>'3.2 Нарушение треб. к бюдж.уч.'!H9</f>
        <v>5</v>
      </c>
      <c r="T8" s="231">
        <f>'4 Наличие на сайте ГМУ'!I9</f>
        <v>5</v>
      </c>
      <c r="U8" s="231">
        <f>'5 Управление активами'!H9</f>
        <v>5</v>
      </c>
      <c r="V8" s="146">
        <f>SUM(E8:U8)</f>
        <v>99.217385414952346</v>
      </c>
      <c r="W8" s="313">
        <v>2</v>
      </c>
      <c r="X8" s="271">
        <f t="shared" si="25"/>
        <v>1.4973902626849167E-3</v>
      </c>
      <c r="Y8" s="271">
        <f t="shared" si="2"/>
        <v>0.78111719478497221</v>
      </c>
      <c r="Z8" s="271">
        <f t="shared" si="3"/>
        <v>0</v>
      </c>
      <c r="AA8" s="271">
        <f t="shared" si="4"/>
        <v>0</v>
      </c>
      <c r="AB8" s="271">
        <f t="shared" si="5"/>
        <v>0</v>
      </c>
      <c r="AC8" s="271">
        <f t="shared" si="6"/>
        <v>0</v>
      </c>
      <c r="AD8" s="271">
        <f t="shared" si="7"/>
        <v>0</v>
      </c>
      <c r="AE8" s="271">
        <f t="shared" si="8"/>
        <v>0</v>
      </c>
      <c r="AF8" s="271">
        <f t="shared" si="9"/>
        <v>0</v>
      </c>
      <c r="AG8" s="271">
        <f t="shared" si="10"/>
        <v>0</v>
      </c>
      <c r="AH8" s="271">
        <f t="shared" si="11"/>
        <v>0</v>
      </c>
      <c r="AI8" s="271">
        <f t="shared" si="12"/>
        <v>0</v>
      </c>
      <c r="AJ8" s="271">
        <f t="shared" si="13"/>
        <v>0</v>
      </c>
      <c r="AK8" s="271">
        <f t="shared" si="14"/>
        <v>0</v>
      </c>
      <c r="AL8" s="271">
        <f t="shared" si="15"/>
        <v>0</v>
      </c>
      <c r="AM8" s="271">
        <f t="shared" si="16"/>
        <v>0</v>
      </c>
      <c r="AN8" s="271">
        <f t="shared" si="17"/>
        <v>0</v>
      </c>
      <c r="AO8" s="351">
        <f t="shared" si="18"/>
        <v>0.78261458504765713</v>
      </c>
      <c r="AP8" s="299">
        <f t="shared" si="19"/>
        <v>1.204022438534857</v>
      </c>
      <c r="AQ8" s="351">
        <f t="shared" si="26"/>
        <v>0</v>
      </c>
      <c r="AR8" s="352">
        <f t="shared" si="27"/>
        <v>0</v>
      </c>
      <c r="AS8" s="299">
        <f t="shared" si="20"/>
        <v>0</v>
      </c>
      <c r="AT8" s="22">
        <f t="shared" si="21"/>
        <v>0</v>
      </c>
      <c r="AU8" s="22">
        <f t="shared" si="22"/>
        <v>0</v>
      </c>
      <c r="AV8" s="22">
        <f t="shared" si="23"/>
        <v>0</v>
      </c>
    </row>
    <row r="9" spans="1:48" ht="62.25" customHeight="1" x14ac:dyDescent="0.25">
      <c r="A9" s="29" t="s">
        <v>18</v>
      </c>
      <c r="B9" s="30" t="s">
        <v>28</v>
      </c>
      <c r="C9" s="30" t="s">
        <v>29</v>
      </c>
      <c r="D9" s="31" t="s">
        <v>30</v>
      </c>
      <c r="E9" s="191">
        <f>'1.1 Кач. планирования расходов'!I11</f>
        <v>9.8463065874131281</v>
      </c>
      <c r="F9" s="229">
        <f>'1.2. Качество исполнения КП'!AQ11</f>
        <v>4.1436303143359403</v>
      </c>
      <c r="G9" s="181">
        <f>'1.3. Доля неиспользованых БА'!I11</f>
        <v>10</v>
      </c>
      <c r="H9" s="181">
        <f>'1.4 Своевременность принятия БО'!I10</f>
        <v>5</v>
      </c>
      <c r="I9" s="181">
        <f>'1.5 Несоотв. расч-плат док'!I10</f>
        <v>4.9403578528827037</v>
      </c>
      <c r="J9" s="231">
        <f>'1.6 Доля отклоненных ПГЗ'!I10</f>
        <v>5</v>
      </c>
      <c r="K9" s="231">
        <f>'1.7. Эффективность исп. МТ '!I9</f>
        <v>5</v>
      </c>
      <c r="L9" s="231">
        <f>'1.8. Эффект.управл. КЗ'!L10</f>
        <v>5</v>
      </c>
      <c r="M9" s="231">
        <f>'1.9. Налчие просроч.КЗ'!G10</f>
        <v>10</v>
      </c>
      <c r="N9" s="231">
        <f>'1.10 Приостановление операций'!H10</f>
        <v>5</v>
      </c>
      <c r="O9" s="231">
        <f>'2.1. Кач-во пл.пост.налог+ненал'!I9</f>
        <v>5</v>
      </c>
      <c r="P9" s="231">
        <f>'2.2. Качество администр. ост.'!I11</f>
        <v>5</v>
      </c>
      <c r="Q9" s="231">
        <f>'2.3 Кач-во управ. просроч.ДЗ'!I11</f>
        <v>5</v>
      </c>
      <c r="R9" s="231">
        <f>'3.1 Степень достовер.отчет'!I10</f>
        <v>5</v>
      </c>
      <c r="S9" s="231">
        <f>'3.2 Нарушение треб. к бюдж.уч.'!H10</f>
        <v>5</v>
      </c>
      <c r="T9" s="231">
        <f>'4 Наличие на сайте ГМУ'!I10</f>
        <v>5</v>
      </c>
      <c r="U9" s="231">
        <f>'5 Управление активами'!H10</f>
        <v>5</v>
      </c>
      <c r="V9" s="146">
        <f t="shared" si="24"/>
        <v>98.930294754631774</v>
      </c>
      <c r="W9" s="313">
        <v>5</v>
      </c>
      <c r="X9" s="271">
        <f t="shared" si="25"/>
        <v>0.15369341258687186</v>
      </c>
      <c r="Y9" s="271">
        <f t="shared" si="2"/>
        <v>0.85636968566405969</v>
      </c>
      <c r="Z9" s="271">
        <f t="shared" si="3"/>
        <v>0</v>
      </c>
      <c r="AA9" s="271">
        <f t="shared" si="4"/>
        <v>0</v>
      </c>
      <c r="AB9" s="271">
        <f t="shared" si="5"/>
        <v>5.9642147117296318E-2</v>
      </c>
      <c r="AC9" s="271">
        <f t="shared" si="6"/>
        <v>0</v>
      </c>
      <c r="AD9" s="271">
        <f t="shared" si="7"/>
        <v>0</v>
      </c>
      <c r="AE9" s="271">
        <f t="shared" si="8"/>
        <v>0</v>
      </c>
      <c r="AF9" s="271">
        <f t="shared" si="9"/>
        <v>0</v>
      </c>
      <c r="AG9" s="271">
        <f t="shared" si="10"/>
        <v>0</v>
      </c>
      <c r="AH9" s="271">
        <f t="shared" si="11"/>
        <v>0</v>
      </c>
      <c r="AI9" s="271">
        <f t="shared" si="12"/>
        <v>0</v>
      </c>
      <c r="AJ9" s="271">
        <f t="shared" si="13"/>
        <v>0</v>
      </c>
      <c r="AK9" s="271">
        <f t="shared" si="14"/>
        <v>0</v>
      </c>
      <c r="AL9" s="271">
        <f t="shared" si="15"/>
        <v>0</v>
      </c>
      <c r="AM9" s="271">
        <f t="shared" si="16"/>
        <v>0</v>
      </c>
      <c r="AN9" s="271">
        <f t="shared" si="17"/>
        <v>0</v>
      </c>
      <c r="AO9" s="351">
        <f t="shared" si="18"/>
        <v>1.0697052453682279</v>
      </c>
      <c r="AP9" s="299">
        <f t="shared" si="19"/>
        <v>1.6457003774895811</v>
      </c>
      <c r="AQ9" s="351">
        <f t="shared" si="26"/>
        <v>0</v>
      </c>
      <c r="AR9" s="351">
        <f t="shared" si="27"/>
        <v>0</v>
      </c>
      <c r="AS9" s="299">
        <f t="shared" si="20"/>
        <v>0</v>
      </c>
      <c r="AT9" s="22">
        <f t="shared" si="21"/>
        <v>0</v>
      </c>
      <c r="AU9" s="22">
        <f t="shared" si="22"/>
        <v>0</v>
      </c>
      <c r="AV9" s="22">
        <f t="shared" si="23"/>
        <v>0</v>
      </c>
    </row>
    <row r="10" spans="1:48" ht="46.9" customHeight="1" x14ac:dyDescent="0.25">
      <c r="A10" s="57" t="s">
        <v>19</v>
      </c>
      <c r="B10" s="58" t="s">
        <v>31</v>
      </c>
      <c r="C10" s="58" t="s">
        <v>32</v>
      </c>
      <c r="D10" s="59" t="s">
        <v>33</v>
      </c>
      <c r="E10" s="347">
        <f>'1.1 Кач. планирования расходов'!I12</f>
        <v>9.8609394313967851</v>
      </c>
      <c r="F10" s="181">
        <f>'1.2. Качество исполнения КП'!AQ12</f>
        <v>4.1386593167997008</v>
      </c>
      <c r="G10" s="181">
        <f>'1.3. Доля неиспользованых БА'!I12</f>
        <v>10</v>
      </c>
      <c r="H10" s="181">
        <f>'1.4 Своевременность принятия БО'!I11</f>
        <v>5</v>
      </c>
      <c r="I10" s="181">
        <f>'1.5 Несоотв. расч-плат док'!I11</f>
        <v>5</v>
      </c>
      <c r="J10" s="231">
        <f>'1.6 Доля отклоненных ПГЗ'!I11</f>
        <v>5</v>
      </c>
      <c r="K10" s="231">
        <f>'1.7. Эффективность исп. МТ '!I10</f>
        <v>5</v>
      </c>
      <c r="L10" s="231">
        <f>'1.8. Эффект.управл. КЗ'!L11</f>
        <v>5</v>
      </c>
      <c r="M10" s="231">
        <f>'1.9. Налчие просроч.КЗ'!G11</f>
        <v>10</v>
      </c>
      <c r="N10" s="231">
        <f>'1.10 Приостановление операций'!H11</f>
        <v>5</v>
      </c>
      <c r="O10" s="231">
        <f>'2.1. Кач-во пл.пост.налог+ненал'!I10</f>
        <v>5</v>
      </c>
      <c r="P10" s="231">
        <f>'2.2. Качество администр. ост.'!I12</f>
        <v>5</v>
      </c>
      <c r="Q10" s="231">
        <f>'2.3 Кач-во управ. просроч.ДЗ'!I12</f>
        <v>5</v>
      </c>
      <c r="R10" s="231">
        <f>'3.1 Степень достовер.отчет'!I11</f>
        <v>5</v>
      </c>
      <c r="S10" s="231">
        <f>'3.2 Нарушение треб. к бюдж.уч.'!H11</f>
        <v>5</v>
      </c>
      <c r="T10" s="231">
        <f>'4 Наличие на сайте ГМУ'!I11</f>
        <v>5</v>
      </c>
      <c r="U10" s="231">
        <f>'5 Управление активами'!H11</f>
        <v>5</v>
      </c>
      <c r="V10" s="146">
        <f t="shared" si="24"/>
        <v>98.99959874819649</v>
      </c>
      <c r="W10" s="313">
        <v>4</v>
      </c>
      <c r="X10" s="271">
        <f t="shared" si="25"/>
        <v>0.13906056860321492</v>
      </c>
      <c r="Y10" s="271">
        <f t="shared" si="2"/>
        <v>0.86134068320029922</v>
      </c>
      <c r="Z10" s="271">
        <f t="shared" si="3"/>
        <v>0</v>
      </c>
      <c r="AA10" s="271">
        <f t="shared" si="4"/>
        <v>0</v>
      </c>
      <c r="AB10" s="271">
        <f t="shared" si="5"/>
        <v>0</v>
      </c>
      <c r="AC10" s="271">
        <f t="shared" si="6"/>
        <v>0</v>
      </c>
      <c r="AD10" s="271">
        <f t="shared" si="7"/>
        <v>0</v>
      </c>
      <c r="AE10" s="271">
        <f t="shared" si="8"/>
        <v>0</v>
      </c>
      <c r="AF10" s="271">
        <f t="shared" si="9"/>
        <v>0</v>
      </c>
      <c r="AG10" s="271">
        <f t="shared" si="10"/>
        <v>0</v>
      </c>
      <c r="AH10" s="271">
        <f t="shared" si="11"/>
        <v>0</v>
      </c>
      <c r="AI10" s="271">
        <f t="shared" si="12"/>
        <v>0</v>
      </c>
      <c r="AJ10" s="271">
        <f t="shared" si="13"/>
        <v>0</v>
      </c>
      <c r="AK10" s="271">
        <f t="shared" si="14"/>
        <v>0</v>
      </c>
      <c r="AL10" s="271">
        <f t="shared" si="15"/>
        <v>0</v>
      </c>
      <c r="AM10" s="271">
        <f t="shared" si="16"/>
        <v>0</v>
      </c>
      <c r="AN10" s="271">
        <f t="shared" si="17"/>
        <v>0</v>
      </c>
      <c r="AO10" s="351">
        <f t="shared" si="18"/>
        <v>1.0004012518035141</v>
      </c>
      <c r="AP10" s="299">
        <f t="shared" si="19"/>
        <v>1.5390788489284832</v>
      </c>
      <c r="AQ10" s="351">
        <f t="shared" si="26"/>
        <v>0</v>
      </c>
      <c r="AR10" s="352">
        <f t="shared" si="27"/>
        <v>0</v>
      </c>
      <c r="AS10" s="299">
        <f t="shared" si="20"/>
        <v>0</v>
      </c>
      <c r="AT10" s="22">
        <f t="shared" si="21"/>
        <v>0</v>
      </c>
      <c r="AU10" s="22">
        <f t="shared" si="22"/>
        <v>0</v>
      </c>
      <c r="AV10" s="22">
        <f t="shared" si="23"/>
        <v>0</v>
      </c>
    </row>
    <row r="11" spans="1:48" ht="19.5" customHeight="1" x14ac:dyDescent="0.25">
      <c r="A11" s="284" t="s">
        <v>20</v>
      </c>
      <c r="B11" s="285" t="s">
        <v>34</v>
      </c>
      <c r="C11" s="285" t="s">
        <v>35</v>
      </c>
      <c r="D11" s="286" t="s">
        <v>36</v>
      </c>
      <c r="E11" s="287">
        <f>'1.1 Кач. планирования расходов'!I13</f>
        <v>0</v>
      </c>
      <c r="F11" s="288">
        <f>'1.2. Качество исполнения КП'!AQ13</f>
        <v>0</v>
      </c>
      <c r="G11" s="288">
        <f>'1.3. Доля неиспользованых БА'!I13</f>
        <v>10</v>
      </c>
      <c r="H11" s="288">
        <f>'1.4 Своевременность принятия БО'!I12</f>
        <v>5</v>
      </c>
      <c r="I11" s="288">
        <f>'1.5 Несоотв. расч-плат док'!I12</f>
        <v>4.9258836944127706</v>
      </c>
      <c r="J11" s="289">
        <f>'1.6 Доля отклоненных ПГЗ'!I12</f>
        <v>0</v>
      </c>
      <c r="K11" s="289">
        <f>'1.7. Эффективность исп. МТ '!I11</f>
        <v>5</v>
      </c>
      <c r="L11" s="289">
        <f>'1.8. Эффект.управл. КЗ'!L12</f>
        <v>5</v>
      </c>
      <c r="M11" s="289">
        <f>'1.9. Налчие просроч.КЗ'!G12</f>
        <v>10</v>
      </c>
      <c r="N11" s="289">
        <f>'1.10 Приостановление операций'!H12</f>
        <v>5</v>
      </c>
      <c r="O11" s="289">
        <f>'2.1. Кач-во пл.пост.налог+ненал'!I11</f>
        <v>5</v>
      </c>
      <c r="P11" s="289">
        <f>'2.2. Качество администр. ост.'!I13</f>
        <v>5</v>
      </c>
      <c r="Q11" s="289">
        <f>'2.3 Кач-во управ. просроч.ДЗ'!I13</f>
        <v>0</v>
      </c>
      <c r="R11" s="289">
        <f>'3.1 Степень достовер.отчет'!I12</f>
        <v>5</v>
      </c>
      <c r="S11" s="289">
        <f>'3.2 Нарушение треб. к бюдж.уч.'!H12</f>
        <v>5</v>
      </c>
      <c r="T11" s="289">
        <f>'4 Наличие на сайте ГМУ'!I12</f>
        <v>5</v>
      </c>
      <c r="U11" s="289">
        <f>'5 Управление активами'!H12</f>
        <v>5</v>
      </c>
      <c r="V11" s="290">
        <f t="shared" si="24"/>
        <v>74.925883694412775</v>
      </c>
      <c r="W11" s="354">
        <v>12</v>
      </c>
      <c r="X11" s="271">
        <f t="shared" si="25"/>
        <v>10</v>
      </c>
      <c r="Y11" s="271">
        <f t="shared" si="2"/>
        <v>5</v>
      </c>
      <c r="Z11" s="271">
        <f t="shared" si="3"/>
        <v>0</v>
      </c>
      <c r="AA11" s="271">
        <f t="shared" si="4"/>
        <v>0</v>
      </c>
      <c r="AB11" s="271">
        <f t="shared" si="5"/>
        <v>7.411630558722937E-2</v>
      </c>
      <c r="AC11" s="271">
        <f t="shared" si="6"/>
        <v>5</v>
      </c>
      <c r="AD11" s="271">
        <f t="shared" si="7"/>
        <v>0</v>
      </c>
      <c r="AE11" s="271">
        <f t="shared" si="8"/>
        <v>0</v>
      </c>
      <c r="AF11" s="271">
        <f t="shared" si="9"/>
        <v>0</v>
      </c>
      <c r="AG11" s="271">
        <f t="shared" si="10"/>
        <v>0</v>
      </c>
      <c r="AH11" s="271">
        <f t="shared" si="11"/>
        <v>0</v>
      </c>
      <c r="AI11" s="271">
        <f t="shared" si="12"/>
        <v>0</v>
      </c>
      <c r="AJ11" s="271">
        <f t="shared" si="13"/>
        <v>5</v>
      </c>
      <c r="AK11" s="271">
        <f t="shared" si="14"/>
        <v>0</v>
      </c>
      <c r="AL11" s="271">
        <f t="shared" si="15"/>
        <v>0</v>
      </c>
      <c r="AM11" s="271">
        <f t="shared" si="16"/>
        <v>0</v>
      </c>
      <c r="AN11" s="271">
        <f t="shared" si="17"/>
        <v>0</v>
      </c>
      <c r="AO11" s="351">
        <f>SUM(X11:AG11)</f>
        <v>20.074116305587228</v>
      </c>
      <c r="AP11" s="298">
        <f t="shared" si="19"/>
        <v>30.883255854749581</v>
      </c>
      <c r="AQ11" s="351">
        <f>SUM(AH11:AJ11)</f>
        <v>5</v>
      </c>
      <c r="AR11" s="298">
        <f>AQ11/15*100</f>
        <v>33.333333333333329</v>
      </c>
      <c r="AS11" s="299">
        <f t="shared" si="20"/>
        <v>0</v>
      </c>
      <c r="AT11" s="22">
        <f t="shared" si="21"/>
        <v>0</v>
      </c>
      <c r="AU11" s="22">
        <f t="shared" si="22"/>
        <v>0</v>
      </c>
      <c r="AV11" s="22">
        <f t="shared" si="23"/>
        <v>0</v>
      </c>
    </row>
    <row r="12" spans="1:48" s="13" customFormat="1" ht="31.5" customHeight="1" x14ac:dyDescent="0.25">
      <c r="A12" s="29" t="s">
        <v>21</v>
      </c>
      <c r="B12" s="30" t="s">
        <v>40</v>
      </c>
      <c r="C12" s="30" t="s">
        <v>38</v>
      </c>
      <c r="D12" s="31" t="s">
        <v>39</v>
      </c>
      <c r="E12" s="273">
        <f>'1.1 Кач. планирования расходов'!I14</f>
        <v>8.8945921943340309</v>
      </c>
      <c r="F12" s="229">
        <f>'1.2. Качество исполнения КП'!AQ14</f>
        <v>3.9498124825338654</v>
      </c>
      <c r="G12" s="229">
        <f>'1.3. Доля неиспользованых БА'!I14</f>
        <v>10</v>
      </c>
      <c r="H12" s="229">
        <f>'1.4 Своевременность принятия БО'!I13</f>
        <v>5</v>
      </c>
      <c r="I12" s="229">
        <f>'1.5 Несоотв. расч-плат док'!I13</f>
        <v>4.9127643308800657</v>
      </c>
      <c r="J12" s="230">
        <f>'1.6 Доля отклоненных ПГЗ'!I13</f>
        <v>4.8982084690553744</v>
      </c>
      <c r="K12" s="230">
        <f>'1.7. Эффективность исп. МТ '!I12</f>
        <v>5</v>
      </c>
      <c r="L12" s="230">
        <f>'1.8. Эффект.управл. КЗ'!L13</f>
        <v>5</v>
      </c>
      <c r="M12" s="230">
        <f>'1.9. Налчие просроч.КЗ'!G13</f>
        <v>10</v>
      </c>
      <c r="N12" s="230">
        <f>'1.10 Приостановление операций'!H13</f>
        <v>5</v>
      </c>
      <c r="O12" s="230">
        <f>'2.1. Кач-во пл.пост.налог+ненал'!I12</f>
        <v>5</v>
      </c>
      <c r="P12" s="230">
        <f>'2.2. Качество администр. ост.'!I14</f>
        <v>5</v>
      </c>
      <c r="Q12" s="230">
        <f>'2.3 Кач-во управ. просроч.ДЗ'!I14</f>
        <v>5</v>
      </c>
      <c r="R12" s="230">
        <f>'3.1 Степень достовер.отчет'!I13</f>
        <v>5</v>
      </c>
      <c r="S12" s="230">
        <f>'3.2 Нарушение треб. к бюдж.уч.'!H13</f>
        <v>5</v>
      </c>
      <c r="T12" s="230">
        <f>'4 Наличие на сайте ГМУ'!I13</f>
        <v>5</v>
      </c>
      <c r="U12" s="231">
        <f>'5 Управление активами'!H13</f>
        <v>5</v>
      </c>
      <c r="V12" s="99">
        <f t="shared" si="24"/>
        <v>97.655377476803338</v>
      </c>
      <c r="W12" s="314">
        <v>6</v>
      </c>
      <c r="X12" s="280">
        <f t="shared" si="25"/>
        <v>1.1054078056659691</v>
      </c>
      <c r="Y12" s="280">
        <f t="shared" si="2"/>
        <v>1.0501875174661346</v>
      </c>
      <c r="Z12" s="271">
        <f t="shared" si="3"/>
        <v>0</v>
      </c>
      <c r="AA12" s="280">
        <f t="shared" si="4"/>
        <v>0</v>
      </c>
      <c r="AB12" s="280">
        <f t="shared" si="5"/>
        <v>8.72356691199343E-2</v>
      </c>
      <c r="AC12" s="280">
        <f t="shared" si="6"/>
        <v>0.10179153094462556</v>
      </c>
      <c r="AD12" s="280">
        <f t="shared" si="7"/>
        <v>0</v>
      </c>
      <c r="AE12" s="280">
        <f t="shared" si="8"/>
        <v>0</v>
      </c>
      <c r="AF12" s="280">
        <f t="shared" si="9"/>
        <v>0</v>
      </c>
      <c r="AG12" s="280">
        <f t="shared" si="10"/>
        <v>0</v>
      </c>
      <c r="AH12" s="280">
        <f t="shared" si="11"/>
        <v>0</v>
      </c>
      <c r="AI12" s="280">
        <f t="shared" si="12"/>
        <v>0</v>
      </c>
      <c r="AJ12" s="280">
        <f t="shared" si="13"/>
        <v>0</v>
      </c>
      <c r="AK12" s="280">
        <f t="shared" si="14"/>
        <v>0</v>
      </c>
      <c r="AL12" s="280">
        <f t="shared" si="15"/>
        <v>0</v>
      </c>
      <c r="AM12" s="280">
        <f t="shared" si="16"/>
        <v>0</v>
      </c>
      <c r="AN12" s="280">
        <f t="shared" si="17"/>
        <v>0</v>
      </c>
      <c r="AO12" s="351">
        <f t="shared" si="18"/>
        <v>2.3446225231966635</v>
      </c>
      <c r="AP12" s="299">
        <f t="shared" si="19"/>
        <v>3.6071115741487128</v>
      </c>
      <c r="AQ12" s="351">
        <f t="shared" si="26"/>
        <v>0</v>
      </c>
      <c r="AR12" s="351">
        <f t="shared" si="27"/>
        <v>0</v>
      </c>
      <c r="AS12" s="299">
        <f t="shared" si="20"/>
        <v>0</v>
      </c>
      <c r="AT12" s="352">
        <f t="shared" si="21"/>
        <v>0</v>
      </c>
      <c r="AU12" s="22">
        <f t="shared" si="22"/>
        <v>0</v>
      </c>
      <c r="AV12" s="22">
        <f t="shared" si="23"/>
        <v>0</v>
      </c>
    </row>
    <row r="13" spans="1:48" x14ac:dyDescent="0.25">
      <c r="A13" s="32">
        <v>9</v>
      </c>
      <c r="B13" s="30" t="s">
        <v>41</v>
      </c>
      <c r="C13" s="30" t="s">
        <v>42</v>
      </c>
      <c r="D13" s="31" t="s">
        <v>43</v>
      </c>
      <c r="E13" s="191">
        <f>'1.1 Кач. планирования расходов'!I15</f>
        <v>9.6612409480487731</v>
      </c>
      <c r="F13" s="229">
        <f>'1.2. Качество исполнения КП'!AQ15</f>
        <v>4.4485827171831485</v>
      </c>
      <c r="G13" s="181">
        <f>'1.3. Доля неиспользованых БА'!I15</f>
        <v>9.9999585710192935</v>
      </c>
      <c r="H13" s="181">
        <f>'1.4 Своевременность принятия БО'!I14</f>
        <v>5</v>
      </c>
      <c r="I13" s="181">
        <f>'1.5 Несоотв. расч-плат док'!I14</f>
        <v>4.9468174911362484</v>
      </c>
      <c r="J13" s="231">
        <f>'1.6 Доля отклоненных ПГЗ'!I14</f>
        <v>0</v>
      </c>
      <c r="K13" s="231">
        <f>'1.7. Эффективность исп. МТ '!I13</f>
        <v>5</v>
      </c>
      <c r="L13" s="231">
        <f>'1.8. Эффект.управл. КЗ'!L14</f>
        <v>5</v>
      </c>
      <c r="M13" s="231">
        <f>'1.9. Налчие просроч.КЗ'!G14</f>
        <v>10</v>
      </c>
      <c r="N13" s="231">
        <f>'1.10 Приостановление операций'!H14</f>
        <v>5</v>
      </c>
      <c r="O13" s="231">
        <f>'2.1. Кач-во пл.пост.налог+ненал'!I13</f>
        <v>5</v>
      </c>
      <c r="P13" s="231">
        <f>'2.2. Качество администр. ост.'!I15</f>
        <v>5</v>
      </c>
      <c r="Q13" s="231">
        <f>'2.3 Кач-во управ. просроч.ДЗ'!I15</f>
        <v>4.8</v>
      </c>
      <c r="R13" s="231">
        <f>'3.1 Степень достовер.отчет'!I14</f>
        <v>5</v>
      </c>
      <c r="S13" s="231">
        <f>'3.2 Нарушение треб. к бюдж.уч.'!H14</f>
        <v>5</v>
      </c>
      <c r="T13" s="231">
        <f>'4 Наличие на сайте ГМУ'!I14</f>
        <v>5</v>
      </c>
      <c r="U13" s="231">
        <f>'5 Управление активами'!H14</f>
        <v>5</v>
      </c>
      <c r="V13" s="146">
        <f t="shared" si="24"/>
        <v>93.856599727387461</v>
      </c>
      <c r="W13" s="313">
        <v>7</v>
      </c>
      <c r="X13" s="271">
        <f t="shared" si="25"/>
        <v>0.33875905195122691</v>
      </c>
      <c r="Y13" s="271">
        <f t="shared" si="2"/>
        <v>0.55141728281685154</v>
      </c>
      <c r="Z13" s="271">
        <f t="shared" si="3"/>
        <v>4.1428980706470497E-5</v>
      </c>
      <c r="AA13" s="271">
        <f t="shared" si="4"/>
        <v>0</v>
      </c>
      <c r="AB13" s="271">
        <f t="shared" si="5"/>
        <v>5.3182508863751643E-2</v>
      </c>
      <c r="AC13" s="271">
        <f t="shared" si="6"/>
        <v>5</v>
      </c>
      <c r="AD13" s="271">
        <f t="shared" si="7"/>
        <v>0</v>
      </c>
      <c r="AE13" s="271">
        <f t="shared" si="8"/>
        <v>0</v>
      </c>
      <c r="AF13" s="271">
        <f t="shared" si="9"/>
        <v>0</v>
      </c>
      <c r="AG13" s="271">
        <f t="shared" si="10"/>
        <v>0</v>
      </c>
      <c r="AH13" s="271">
        <f t="shared" si="11"/>
        <v>0</v>
      </c>
      <c r="AI13" s="271">
        <f t="shared" si="12"/>
        <v>0</v>
      </c>
      <c r="AJ13" s="271">
        <f t="shared" si="13"/>
        <v>0.20000000000000018</v>
      </c>
      <c r="AK13" s="271">
        <f t="shared" si="14"/>
        <v>0</v>
      </c>
      <c r="AL13" s="271">
        <f t="shared" si="15"/>
        <v>0</v>
      </c>
      <c r="AM13" s="271">
        <f t="shared" si="16"/>
        <v>0</v>
      </c>
      <c r="AN13" s="271">
        <f t="shared" si="17"/>
        <v>0</v>
      </c>
      <c r="AO13" s="351">
        <f t="shared" si="18"/>
        <v>5.9434002726125366</v>
      </c>
      <c r="AP13" s="299">
        <f t="shared" si="19"/>
        <v>9.1436927270962105</v>
      </c>
      <c r="AQ13" s="351">
        <f t="shared" si="26"/>
        <v>0.20000000000000018</v>
      </c>
      <c r="AR13" s="351">
        <f t="shared" si="27"/>
        <v>1.3333333333333344</v>
      </c>
      <c r="AS13" s="299">
        <f>AK13+AL13</f>
        <v>0</v>
      </c>
      <c r="AT13" s="353">
        <f>AS13/10*100</f>
        <v>0</v>
      </c>
      <c r="AU13" s="352">
        <f t="shared" si="22"/>
        <v>0</v>
      </c>
      <c r="AV13" s="22">
        <f t="shared" si="23"/>
        <v>0</v>
      </c>
    </row>
    <row r="14" spans="1:48" ht="31.9" customHeight="1" x14ac:dyDescent="0.25">
      <c r="A14" s="32">
        <v>10</v>
      </c>
      <c r="B14" s="30" t="s">
        <v>44</v>
      </c>
      <c r="C14" s="30" t="s">
        <v>45</v>
      </c>
      <c r="D14" s="31" t="s">
        <v>46</v>
      </c>
      <c r="E14" s="191">
        <f>'1.1 Кач. планирования расходов'!I16</f>
        <v>10</v>
      </c>
      <c r="F14" s="229">
        <f>'1.2. Качество исполнения КП'!AQ16</f>
        <v>4.0702368655076189</v>
      </c>
      <c r="G14" s="181">
        <f>'1.3. Доля неиспользованых БА'!I16</f>
        <v>10</v>
      </c>
      <c r="H14" s="181">
        <f>'1.4 Своевременность принятия БО'!I15</f>
        <v>5</v>
      </c>
      <c r="I14" s="181">
        <f>'1.5 Несоотв. расч-плат док'!I15</f>
        <v>4.9527272727272722</v>
      </c>
      <c r="J14" s="231">
        <f>'1.6 Доля отклоненных ПГЗ'!I15</f>
        <v>4.8979591836734695</v>
      </c>
      <c r="K14" s="231">
        <f>'1.7. Эффективность исп. МТ '!I14</f>
        <v>0</v>
      </c>
      <c r="L14" s="231">
        <f>'1.8. Эффект.управл. КЗ'!L15</f>
        <v>5</v>
      </c>
      <c r="M14" s="231">
        <f>'1.9. Налчие просроч.КЗ'!G15</f>
        <v>10</v>
      </c>
      <c r="N14" s="231">
        <f>'1.10 Приостановление операций'!H15</f>
        <v>5</v>
      </c>
      <c r="O14" s="231">
        <f>'2.1. Кач-во пл.пост.налог+ненал'!I14</f>
        <v>5</v>
      </c>
      <c r="P14" s="231">
        <f>'2.2. Качество администр. ост.'!I16</f>
        <v>5</v>
      </c>
      <c r="Q14" s="231">
        <f>'2.3 Кач-во управ. просроч.ДЗ'!I16</f>
        <v>2.3000000000000003</v>
      </c>
      <c r="R14" s="231">
        <f>'3.1 Степень достовер.отчет'!I15</f>
        <v>5</v>
      </c>
      <c r="S14" s="231">
        <f>'3.2 Нарушение треб. к бюдж.уч.'!H15</f>
        <v>5</v>
      </c>
      <c r="T14" s="231">
        <f>'4 Наличие на сайте ГМУ'!I15</f>
        <v>5</v>
      </c>
      <c r="U14" s="231">
        <f>'5 Управление активами'!H15</f>
        <v>5</v>
      </c>
      <c r="V14" s="146">
        <f t="shared" si="24"/>
        <v>91.220923321908359</v>
      </c>
      <c r="W14" s="313">
        <v>10</v>
      </c>
      <c r="X14" s="271">
        <f>10-E14</f>
        <v>0</v>
      </c>
      <c r="Y14" s="271">
        <f t="shared" si="2"/>
        <v>0.92976313449238113</v>
      </c>
      <c r="Z14" s="271">
        <f t="shared" si="3"/>
        <v>0</v>
      </c>
      <c r="AA14" s="271">
        <f t="shared" si="4"/>
        <v>0</v>
      </c>
      <c r="AB14" s="271">
        <f t="shared" si="5"/>
        <v>4.7272727272727799E-2</v>
      </c>
      <c r="AC14" s="271">
        <f t="shared" si="6"/>
        <v>0.1020408163265305</v>
      </c>
      <c r="AD14" s="271">
        <f t="shared" si="7"/>
        <v>5</v>
      </c>
      <c r="AE14" s="271">
        <f t="shared" si="8"/>
        <v>0</v>
      </c>
      <c r="AF14" s="271">
        <f t="shared" si="9"/>
        <v>0</v>
      </c>
      <c r="AG14" s="271">
        <f t="shared" si="10"/>
        <v>0</v>
      </c>
      <c r="AH14" s="271">
        <f t="shared" si="11"/>
        <v>0</v>
      </c>
      <c r="AI14" s="271">
        <f t="shared" si="12"/>
        <v>0</v>
      </c>
      <c r="AJ14" s="271">
        <f t="shared" si="13"/>
        <v>2.6999999999999997</v>
      </c>
      <c r="AK14" s="271">
        <f t="shared" si="14"/>
        <v>0</v>
      </c>
      <c r="AL14" s="271">
        <f t="shared" si="15"/>
        <v>0</v>
      </c>
      <c r="AM14" s="271">
        <f t="shared" si="16"/>
        <v>0</v>
      </c>
      <c r="AN14" s="271">
        <f t="shared" si="17"/>
        <v>0</v>
      </c>
      <c r="AO14" s="351">
        <f>SUM(X14:AG14)</f>
        <v>6.0790766780916394</v>
      </c>
      <c r="AP14" s="299">
        <f t="shared" si="19"/>
        <v>9.3524256586025221</v>
      </c>
      <c r="AQ14" s="351">
        <f t="shared" si="26"/>
        <v>2.6999999999999997</v>
      </c>
      <c r="AR14" s="351">
        <f t="shared" si="27"/>
        <v>18</v>
      </c>
      <c r="AS14" s="299">
        <f t="shared" si="20"/>
        <v>0</v>
      </c>
      <c r="AT14" s="353">
        <f t="shared" si="21"/>
        <v>0</v>
      </c>
      <c r="AU14" s="352">
        <f t="shared" si="22"/>
        <v>0</v>
      </c>
      <c r="AV14" s="22">
        <f t="shared" si="23"/>
        <v>0</v>
      </c>
    </row>
    <row r="15" spans="1:48" ht="31.5" x14ac:dyDescent="0.25">
      <c r="A15" s="32">
        <v>11</v>
      </c>
      <c r="B15" s="30" t="s">
        <v>47</v>
      </c>
      <c r="C15" s="30" t="s">
        <v>48</v>
      </c>
      <c r="D15" s="31" t="s">
        <v>49</v>
      </c>
      <c r="E15" s="191">
        <f>'1.1 Кач. планирования расходов'!I17</f>
        <v>9.773629908423505</v>
      </c>
      <c r="F15" s="229">
        <f>'1.2. Качество исполнения КП'!AQ17</f>
        <v>3.8037043962781141</v>
      </c>
      <c r="G15" s="181">
        <f>'1.3. Доля неиспользованых БА'!I17</f>
        <v>10</v>
      </c>
      <c r="H15" s="181">
        <f>'1.4 Своевременность принятия БО'!I16</f>
        <v>5</v>
      </c>
      <c r="I15" s="181">
        <f>'1.5 Несоотв. расч-плат док'!I16</f>
        <v>4.9834437086092711</v>
      </c>
      <c r="J15" s="231">
        <f>'1.6 Доля отклоненных ПГЗ'!I16</f>
        <v>5</v>
      </c>
      <c r="K15" s="231">
        <f>'1.7. Эффективность исп. МТ '!I15</f>
        <v>5</v>
      </c>
      <c r="L15" s="231">
        <f>'1.8. Эффект.управл. КЗ'!L16</f>
        <v>5</v>
      </c>
      <c r="M15" s="231">
        <f>'1.9. Налчие просроч.КЗ'!G16</f>
        <v>10</v>
      </c>
      <c r="N15" s="231">
        <f>'1.10 Приостановление операций'!H16</f>
        <v>5</v>
      </c>
      <c r="O15" s="231">
        <f>'2.1. Кач-во пл.пост.налог+ненал'!I15</f>
        <v>5</v>
      </c>
      <c r="P15" s="231">
        <f>'2.2. Качество администр. ост.'!I17</f>
        <v>5</v>
      </c>
      <c r="Q15" s="231">
        <f>'2.3 Кач-во управ. просроч.ДЗ'!I17</f>
        <v>0</v>
      </c>
      <c r="R15" s="231">
        <f>'3.1 Степень достовер.отчет'!I16</f>
        <v>5</v>
      </c>
      <c r="S15" s="231">
        <f>'3.2 Нарушение треб. к бюдж.уч.'!H16</f>
        <v>5</v>
      </c>
      <c r="T15" s="231">
        <f>'4 Наличие на сайте ГМУ'!I16</f>
        <v>5</v>
      </c>
      <c r="U15" s="231">
        <f>'5 Управление активами'!H16</f>
        <v>5</v>
      </c>
      <c r="V15" s="146">
        <f t="shared" si="24"/>
        <v>93.56077801331088</v>
      </c>
      <c r="W15" s="313">
        <v>8</v>
      </c>
      <c r="X15" s="271">
        <f t="shared" si="25"/>
        <v>0.22637009157649501</v>
      </c>
      <c r="Y15" s="271">
        <f>5-F15</f>
        <v>1.1962956037218859</v>
      </c>
      <c r="Z15" s="271">
        <f t="shared" si="3"/>
        <v>0</v>
      </c>
      <c r="AA15" s="271">
        <f t="shared" si="4"/>
        <v>0</v>
      </c>
      <c r="AB15" s="271">
        <f t="shared" si="5"/>
        <v>1.6556291390728894E-2</v>
      </c>
      <c r="AC15" s="271">
        <f t="shared" si="6"/>
        <v>0</v>
      </c>
      <c r="AD15" s="271">
        <f t="shared" si="7"/>
        <v>0</v>
      </c>
      <c r="AE15" s="271">
        <f t="shared" si="8"/>
        <v>0</v>
      </c>
      <c r="AF15" s="271">
        <f t="shared" si="9"/>
        <v>0</v>
      </c>
      <c r="AG15" s="271">
        <f t="shared" si="10"/>
        <v>0</v>
      </c>
      <c r="AH15" s="271">
        <f t="shared" si="11"/>
        <v>0</v>
      </c>
      <c r="AI15" s="271">
        <f t="shared" si="12"/>
        <v>0</v>
      </c>
      <c r="AJ15" s="271">
        <f t="shared" si="13"/>
        <v>5</v>
      </c>
      <c r="AK15" s="271">
        <f t="shared" si="14"/>
        <v>0</v>
      </c>
      <c r="AL15" s="271">
        <f t="shared" si="15"/>
        <v>0</v>
      </c>
      <c r="AM15" s="271">
        <f t="shared" si="16"/>
        <v>0</v>
      </c>
      <c r="AN15" s="271">
        <f t="shared" si="17"/>
        <v>0</v>
      </c>
      <c r="AO15" s="351">
        <f t="shared" si="18"/>
        <v>1.4392219866891098</v>
      </c>
      <c r="AP15" s="299">
        <f t="shared" si="19"/>
        <v>2.2141876718294</v>
      </c>
      <c r="AQ15" s="351">
        <f t="shared" si="26"/>
        <v>5</v>
      </c>
      <c r="AR15" s="298">
        <f t="shared" si="27"/>
        <v>33.333333333333329</v>
      </c>
      <c r="AS15" s="299">
        <f t="shared" si="20"/>
        <v>0</v>
      </c>
      <c r="AT15" s="516">
        <f t="shared" si="21"/>
        <v>0</v>
      </c>
      <c r="AU15" s="22">
        <f t="shared" si="22"/>
        <v>0</v>
      </c>
      <c r="AV15" s="22">
        <f t="shared" si="23"/>
        <v>0</v>
      </c>
    </row>
    <row r="16" spans="1:48" ht="45.75" customHeight="1" thickBot="1" x14ac:dyDescent="0.3">
      <c r="A16" s="234" t="s">
        <v>37</v>
      </c>
      <c r="B16" s="235" t="s">
        <v>50</v>
      </c>
      <c r="C16" s="235" t="s">
        <v>51</v>
      </c>
      <c r="D16" s="236" t="s">
        <v>52</v>
      </c>
      <c r="E16" s="226">
        <f>'1.1 Кач. планирования расходов'!I18</f>
        <v>9.9318715698770692</v>
      </c>
      <c r="F16" s="232">
        <f>'1.2. Качество исполнения КП'!AQ18</f>
        <v>4.4877767659273671</v>
      </c>
      <c r="G16" s="233">
        <f>'1.3. Доля неиспользованых БА'!I18</f>
        <v>10</v>
      </c>
      <c r="H16" s="233">
        <f>'1.4 Своевременность принятия БО'!I17</f>
        <v>5</v>
      </c>
      <c r="I16" s="233">
        <f>'1.5 Несоотв. расч-плат док'!I17</f>
        <v>4.9956188389923328</v>
      </c>
      <c r="J16" s="237">
        <f>'1.6 Доля отклоненных ПГЗ'!I17</f>
        <v>0</v>
      </c>
      <c r="K16" s="237">
        <f>'1.7. Эффективность исп. МТ '!I16</f>
        <v>5</v>
      </c>
      <c r="L16" s="237">
        <f>'1.8. Эффект.управл. КЗ'!L17</f>
        <v>5</v>
      </c>
      <c r="M16" s="237">
        <f>'1.9. Налчие просроч.КЗ'!G17</f>
        <v>10</v>
      </c>
      <c r="N16" s="237">
        <f>'1.10 Приостановление операций'!H17</f>
        <v>5</v>
      </c>
      <c r="O16" s="237">
        <f>'2.1. Кач-во пл.пост.налог+ненал'!I16</f>
        <v>5</v>
      </c>
      <c r="P16" s="237">
        <f>'2.2. Качество администр. ост.'!I18</f>
        <v>5</v>
      </c>
      <c r="Q16" s="237">
        <f>'2.3 Кач-во управ. просроч.ДЗ'!I18</f>
        <v>2.4500000000000002</v>
      </c>
      <c r="R16" s="237">
        <f>'3.1 Степень достовер.отчет'!I17</f>
        <v>5</v>
      </c>
      <c r="S16" s="237">
        <f>'3.2 Нарушение треб. к бюдж.уч.'!H17</f>
        <v>5</v>
      </c>
      <c r="T16" s="237">
        <f>'4 Наличие на сайте ГМУ'!I17</f>
        <v>5</v>
      </c>
      <c r="U16" s="231">
        <f>'5 Управление активами'!H17</f>
        <v>5</v>
      </c>
      <c r="V16" s="238">
        <f t="shared" si="24"/>
        <v>91.86526717479677</v>
      </c>
      <c r="W16" s="315">
        <v>9</v>
      </c>
      <c r="X16" s="271">
        <f t="shared" si="25"/>
        <v>6.8128430122930794E-2</v>
      </c>
      <c r="Y16" s="271">
        <f t="shared" si="2"/>
        <v>0.51222323407263293</v>
      </c>
      <c r="Z16" s="271">
        <f t="shared" si="3"/>
        <v>0</v>
      </c>
      <c r="AA16" s="271">
        <f t="shared" si="4"/>
        <v>0</v>
      </c>
      <c r="AB16" s="271">
        <f t="shared" si="5"/>
        <v>4.381161007667167E-3</v>
      </c>
      <c r="AC16" s="271">
        <f t="shared" si="6"/>
        <v>5</v>
      </c>
      <c r="AD16" s="271">
        <f t="shared" si="7"/>
        <v>0</v>
      </c>
      <c r="AE16" s="271">
        <f t="shared" si="8"/>
        <v>0</v>
      </c>
      <c r="AF16" s="271">
        <f t="shared" si="9"/>
        <v>0</v>
      </c>
      <c r="AG16" s="271">
        <f t="shared" si="10"/>
        <v>0</v>
      </c>
      <c r="AH16" s="271">
        <f t="shared" si="11"/>
        <v>0</v>
      </c>
      <c r="AI16" s="271">
        <f t="shared" si="12"/>
        <v>0</v>
      </c>
      <c r="AJ16" s="271">
        <f t="shared" si="13"/>
        <v>2.5499999999999998</v>
      </c>
      <c r="AK16" s="271">
        <f t="shared" si="14"/>
        <v>0</v>
      </c>
      <c r="AL16" s="271">
        <f t="shared" si="15"/>
        <v>0</v>
      </c>
      <c r="AM16" s="271">
        <f t="shared" si="16"/>
        <v>0</v>
      </c>
      <c r="AN16" s="271">
        <f t="shared" si="17"/>
        <v>0</v>
      </c>
      <c r="AO16" s="351">
        <f t="shared" si="18"/>
        <v>5.5847328252032309</v>
      </c>
      <c r="AP16" s="299">
        <f t="shared" si="19"/>
        <v>8.5918966541588162</v>
      </c>
      <c r="AQ16" s="351">
        <f t="shared" si="26"/>
        <v>2.5499999999999998</v>
      </c>
      <c r="AR16" s="361">
        <f>AQ16/15*100</f>
        <v>17</v>
      </c>
      <c r="AS16" s="299">
        <f t="shared" si="20"/>
        <v>0</v>
      </c>
      <c r="AT16" s="22">
        <f t="shared" si="21"/>
        <v>0</v>
      </c>
      <c r="AU16" s="22">
        <f t="shared" si="22"/>
        <v>0</v>
      </c>
      <c r="AV16" s="22">
        <f t="shared" si="23"/>
        <v>0</v>
      </c>
    </row>
    <row r="17" spans="1:23" s="36" customFormat="1" x14ac:dyDescent="0.25">
      <c r="A17" s="498" t="s">
        <v>193</v>
      </c>
      <c r="B17" s="499"/>
      <c r="C17" s="499"/>
      <c r="D17" s="500"/>
      <c r="E17" s="275">
        <f>SUM(E5:E16)</f>
        <v>107.58751889654643</v>
      </c>
      <c r="F17" s="275">
        <f t="shared" ref="F17:T17" si="28">SUM(F5:F16)</f>
        <v>45.764131108820372</v>
      </c>
      <c r="G17" s="275">
        <f t="shared" si="28"/>
        <v>119.99995857101929</v>
      </c>
      <c r="H17" s="275">
        <f t="shared" si="28"/>
        <v>60</v>
      </c>
      <c r="I17" s="275">
        <f t="shared" si="28"/>
        <v>59.604125511110091</v>
      </c>
      <c r="J17" s="275">
        <f t="shared" si="28"/>
        <v>39.796167652728847</v>
      </c>
      <c r="K17" s="275">
        <f t="shared" si="28"/>
        <v>55</v>
      </c>
      <c r="L17" s="275">
        <f t="shared" si="28"/>
        <v>59.999814193286547</v>
      </c>
      <c r="M17" s="275">
        <f t="shared" si="28"/>
        <v>120</v>
      </c>
      <c r="N17" s="275">
        <f t="shared" si="28"/>
        <v>60</v>
      </c>
      <c r="O17" s="275">
        <f t="shared" si="28"/>
        <v>60</v>
      </c>
      <c r="P17" s="275">
        <f t="shared" si="28"/>
        <v>60</v>
      </c>
      <c r="Q17" s="275">
        <f t="shared" si="28"/>
        <v>39.549999999999997</v>
      </c>
      <c r="R17" s="275">
        <f t="shared" si="28"/>
        <v>60</v>
      </c>
      <c r="S17" s="275">
        <f t="shared" si="28"/>
        <v>60</v>
      </c>
      <c r="T17" s="275">
        <f t="shared" si="28"/>
        <v>60</v>
      </c>
      <c r="U17" s="275">
        <f t="shared" ref="U17" si="29">SUM(U5:U16)</f>
        <v>60</v>
      </c>
      <c r="V17" s="278">
        <f t="shared" ref="V17" si="30">SUM(V5:V16)</f>
        <v>1127.3017159335116</v>
      </c>
      <c r="W17" s="276"/>
    </row>
    <row r="18" spans="1:23" s="36" customFormat="1" x14ac:dyDescent="0.25">
      <c r="A18" s="501" t="s">
        <v>184</v>
      </c>
      <c r="B18" s="502"/>
      <c r="C18" s="502"/>
      <c r="D18" s="503"/>
      <c r="E18" s="247">
        <f>E17/12</f>
        <v>8.9656265747122017</v>
      </c>
      <c r="F18" s="247">
        <f t="shared" ref="F18:U18" si="31">F17/12</f>
        <v>3.8136775924016977</v>
      </c>
      <c r="G18" s="247">
        <f t="shared" si="31"/>
        <v>9.9999965475849404</v>
      </c>
      <c r="H18" s="247">
        <f t="shared" si="31"/>
        <v>5</v>
      </c>
      <c r="I18" s="247">
        <f t="shared" si="31"/>
        <v>4.9670104592591739</v>
      </c>
      <c r="J18" s="247">
        <f t="shared" si="31"/>
        <v>3.3163473043940708</v>
      </c>
      <c r="K18" s="247">
        <f t="shared" si="31"/>
        <v>4.583333333333333</v>
      </c>
      <c r="L18" s="247">
        <f t="shared" si="31"/>
        <v>4.9999845161072125</v>
      </c>
      <c r="M18" s="247">
        <f t="shared" si="31"/>
        <v>10</v>
      </c>
      <c r="N18" s="247">
        <f t="shared" si="31"/>
        <v>5</v>
      </c>
      <c r="O18" s="247">
        <f t="shared" si="31"/>
        <v>5</v>
      </c>
      <c r="P18" s="247">
        <f t="shared" si="31"/>
        <v>5</v>
      </c>
      <c r="Q18" s="247">
        <f t="shared" si="31"/>
        <v>3.2958333333333329</v>
      </c>
      <c r="R18" s="247">
        <f t="shared" si="31"/>
        <v>5</v>
      </c>
      <c r="S18" s="247">
        <f t="shared" si="31"/>
        <v>5</v>
      </c>
      <c r="T18" s="247">
        <f t="shared" si="31"/>
        <v>5</v>
      </c>
      <c r="U18" s="247">
        <f t="shared" si="31"/>
        <v>5</v>
      </c>
      <c r="V18" s="279">
        <f>V17/12</f>
        <v>93.941809661125959</v>
      </c>
      <c r="W18" s="277"/>
    </row>
    <row r="19" spans="1:23" ht="15" customHeight="1" x14ac:dyDescent="0.25">
      <c r="A19" s="13"/>
      <c r="B19" s="13"/>
      <c r="C19" s="13"/>
      <c r="D19" s="13"/>
      <c r="E19" s="13"/>
      <c r="F19" s="13"/>
    </row>
    <row r="20" spans="1:23" ht="15.75" customHeight="1" x14ac:dyDescent="0.3">
      <c r="A20" s="360"/>
      <c r="B20" s="13"/>
      <c r="C20" s="13"/>
      <c r="D20" s="13"/>
      <c r="E20" s="13"/>
      <c r="F20" s="13"/>
    </row>
    <row r="21" spans="1:23" s="15" customFormat="1" ht="18.75" x14ac:dyDescent="0.3">
      <c r="A21" s="490" t="s">
        <v>219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</row>
    <row r="22" spans="1:23" s="15" customFormat="1" x14ac:dyDescent="0.25">
      <c r="A22" s="382"/>
      <c r="B22" s="383"/>
      <c r="C22" s="384"/>
    </row>
    <row r="23" spans="1:23" x14ac:dyDescent="0.25">
      <c r="A23" s="13"/>
      <c r="B23" s="13"/>
      <c r="C23" s="13"/>
      <c r="D23" s="13"/>
      <c r="E23" s="13"/>
      <c r="F23" s="13"/>
    </row>
    <row r="24" spans="1:23" s="15" customFormat="1" x14ac:dyDescent="0.25">
      <c r="A24" s="39"/>
      <c r="B24" s="39"/>
      <c r="C24" s="13"/>
      <c r="D24" s="24"/>
      <c r="E24" s="24"/>
      <c r="F24" s="13"/>
    </row>
  </sheetData>
  <mergeCells count="13">
    <mergeCell ref="V3:V4"/>
    <mergeCell ref="A1:W1"/>
    <mergeCell ref="W3:W4"/>
    <mergeCell ref="A21:W21"/>
    <mergeCell ref="A22:C22"/>
    <mergeCell ref="A3:A4"/>
    <mergeCell ref="B3:B4"/>
    <mergeCell ref="C3:C4"/>
    <mergeCell ref="D3:D4"/>
    <mergeCell ref="E3:U3"/>
    <mergeCell ref="A17:D17"/>
    <mergeCell ref="A18:D18"/>
    <mergeCell ref="A2:W2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T24"/>
  <sheetViews>
    <sheetView view="pageBreakPreview" topLeftCell="A3" zoomScale="68" zoomScaleNormal="100" zoomScaleSheetLayoutView="68" workbookViewId="0">
      <pane xSplit="4" topLeftCell="E1" activePane="topRight" state="frozen"/>
      <selection pane="topRight" activeCell="A24" sqref="A24:C24"/>
    </sheetView>
  </sheetViews>
  <sheetFormatPr defaultRowHeight="15" x14ac:dyDescent="0.25"/>
  <cols>
    <col min="1" max="1" width="4.28515625" style="318" customWidth="1"/>
    <col min="2" max="2" width="6.7109375" style="318" customWidth="1"/>
    <col min="3" max="3" width="13.28515625" style="318" customWidth="1"/>
    <col min="4" max="4" width="29.5703125" style="318" customWidth="1"/>
    <col min="5" max="5" width="16.85546875" style="318" customWidth="1"/>
    <col min="6" max="6" width="18" style="318" customWidth="1"/>
    <col min="7" max="7" width="13.5703125" style="318" customWidth="1"/>
    <col min="8" max="8" width="17" style="318" customWidth="1"/>
    <col min="9" max="9" width="16.85546875" style="318" customWidth="1"/>
    <col min="10" max="10" width="15" style="318" customWidth="1"/>
    <col min="11" max="11" width="16.85546875" style="318" customWidth="1"/>
    <col min="12" max="12" width="17.42578125" style="318" customWidth="1"/>
    <col min="13" max="13" width="14.42578125" style="318" customWidth="1"/>
    <col min="14" max="14" width="17" style="318" customWidth="1"/>
    <col min="15" max="15" width="17.7109375" style="318" customWidth="1"/>
    <col min="16" max="16" width="15.5703125" style="318" customWidth="1"/>
    <col min="17" max="17" width="17" style="318" customWidth="1"/>
    <col min="18" max="18" width="17.5703125" style="318" customWidth="1"/>
    <col min="19" max="19" width="16.5703125" style="318" customWidth="1"/>
    <col min="20" max="20" width="16.85546875" style="318" customWidth="1"/>
    <col min="21" max="21" width="17.5703125" style="318" customWidth="1"/>
    <col min="22" max="22" width="16" style="318" customWidth="1"/>
    <col min="23" max="23" width="16.85546875" style="318" customWidth="1"/>
    <col min="24" max="24" width="17" style="318" customWidth="1"/>
    <col min="25" max="25" width="16.42578125" style="318" customWidth="1"/>
    <col min="26" max="26" width="16.85546875" style="318" customWidth="1"/>
    <col min="27" max="27" width="17.85546875" style="318" customWidth="1"/>
    <col min="28" max="28" width="16.5703125" style="318" customWidth="1"/>
    <col min="29" max="29" width="17" style="318" customWidth="1"/>
    <col min="30" max="30" width="16.85546875" style="318" customWidth="1"/>
    <col min="31" max="31" width="15.85546875" style="318" customWidth="1"/>
    <col min="32" max="32" width="18" style="318" customWidth="1"/>
    <col min="33" max="33" width="17.42578125" style="318" customWidth="1"/>
    <col min="34" max="34" width="16" style="318" customWidth="1"/>
    <col min="35" max="35" width="17.7109375" style="318" customWidth="1"/>
    <col min="36" max="38" width="16.85546875" style="318" customWidth="1"/>
    <col min="39" max="39" width="17" style="318" customWidth="1"/>
    <col min="40" max="40" width="16.140625" style="318" customWidth="1"/>
    <col min="41" max="41" width="17.5703125" style="318" customWidth="1"/>
    <col min="42" max="42" width="27.5703125" style="318" customWidth="1"/>
    <col min="43" max="43" width="14" style="318" customWidth="1"/>
    <col min="44" max="44" width="9.140625" style="318"/>
    <col min="45" max="45" width="21" style="318" customWidth="1"/>
    <col min="46" max="46" width="19.140625" style="318" customWidth="1"/>
    <col min="47" max="16384" width="9.140625" style="318"/>
  </cols>
  <sheetData>
    <row r="2" spans="1:46" x14ac:dyDescent="0.25">
      <c r="A2" s="411" t="s">
        <v>214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</row>
    <row r="3" spans="1:46" ht="16.149999999999999" thickBot="1" x14ac:dyDescent="0.35">
      <c r="A3" s="13"/>
      <c r="B3" s="13"/>
      <c r="C3" s="13"/>
      <c r="D3" s="319"/>
      <c r="E3" s="387"/>
      <c r="F3" s="387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13"/>
      <c r="AP3" s="13"/>
      <c r="AQ3" s="13"/>
    </row>
    <row r="4" spans="1:46" ht="31.9" customHeight="1" thickBot="1" x14ac:dyDescent="0.3">
      <c r="A4" s="425" t="s">
        <v>0</v>
      </c>
      <c r="B4" s="420" t="s">
        <v>107</v>
      </c>
      <c r="C4" s="420" t="s">
        <v>1</v>
      </c>
      <c r="D4" s="420" t="s">
        <v>2</v>
      </c>
      <c r="E4" s="402" t="s">
        <v>215</v>
      </c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228"/>
      <c r="AO4" s="409" t="s">
        <v>79</v>
      </c>
      <c r="AP4" s="400" t="s">
        <v>72</v>
      </c>
      <c r="AQ4" s="413" t="s">
        <v>57</v>
      </c>
    </row>
    <row r="5" spans="1:46" ht="31.9" customHeight="1" thickBot="1" x14ac:dyDescent="0.3">
      <c r="A5" s="426"/>
      <c r="B5" s="423"/>
      <c r="C5" s="423"/>
      <c r="D5" s="421"/>
      <c r="E5" s="407" t="s">
        <v>150</v>
      </c>
      <c r="F5" s="405"/>
      <c r="G5" s="406"/>
      <c r="H5" s="404" t="s">
        <v>151</v>
      </c>
      <c r="I5" s="405"/>
      <c r="J5" s="406"/>
      <c r="K5" s="404" t="s">
        <v>152</v>
      </c>
      <c r="L5" s="405"/>
      <c r="M5" s="406"/>
      <c r="N5" s="404" t="s">
        <v>153</v>
      </c>
      <c r="O5" s="405"/>
      <c r="P5" s="406"/>
      <c r="Q5" s="404" t="s">
        <v>154</v>
      </c>
      <c r="R5" s="405"/>
      <c r="S5" s="406"/>
      <c r="T5" s="404" t="s">
        <v>155</v>
      </c>
      <c r="U5" s="405"/>
      <c r="V5" s="406"/>
      <c r="W5" s="404" t="s">
        <v>156</v>
      </c>
      <c r="X5" s="405"/>
      <c r="Y5" s="406"/>
      <c r="Z5" s="404" t="s">
        <v>157</v>
      </c>
      <c r="AA5" s="405"/>
      <c r="AB5" s="406"/>
      <c r="AC5" s="404" t="s">
        <v>158</v>
      </c>
      <c r="AD5" s="405"/>
      <c r="AE5" s="406"/>
      <c r="AF5" s="404" t="s">
        <v>185</v>
      </c>
      <c r="AG5" s="405"/>
      <c r="AH5" s="406"/>
      <c r="AI5" s="404" t="s">
        <v>159</v>
      </c>
      <c r="AJ5" s="405"/>
      <c r="AK5" s="405"/>
      <c r="AL5" s="407" t="s">
        <v>160</v>
      </c>
      <c r="AM5" s="405"/>
      <c r="AN5" s="408"/>
      <c r="AO5" s="410"/>
      <c r="AP5" s="401"/>
      <c r="AQ5" s="414"/>
    </row>
    <row r="6" spans="1:46" ht="76.5" customHeight="1" thickBot="1" x14ac:dyDescent="0.3">
      <c r="A6" s="427"/>
      <c r="B6" s="424"/>
      <c r="C6" s="424"/>
      <c r="D6" s="422"/>
      <c r="E6" s="158" t="s">
        <v>93</v>
      </c>
      <c r="F6" s="159" t="s">
        <v>94</v>
      </c>
      <c r="G6" s="159"/>
      <c r="H6" s="159" t="s">
        <v>93</v>
      </c>
      <c r="I6" s="159" t="s">
        <v>94</v>
      </c>
      <c r="J6" s="159"/>
      <c r="K6" s="159" t="s">
        <v>93</v>
      </c>
      <c r="L6" s="159" t="s">
        <v>94</v>
      </c>
      <c r="M6" s="159"/>
      <c r="N6" s="159" t="s">
        <v>93</v>
      </c>
      <c r="O6" s="159" t="s">
        <v>94</v>
      </c>
      <c r="P6" s="159"/>
      <c r="Q6" s="159" t="s">
        <v>93</v>
      </c>
      <c r="R6" s="159" t="s">
        <v>94</v>
      </c>
      <c r="S6" s="159"/>
      <c r="T6" s="159" t="s">
        <v>93</v>
      </c>
      <c r="U6" s="159" t="s">
        <v>94</v>
      </c>
      <c r="V6" s="159"/>
      <c r="W6" s="159" t="s">
        <v>93</v>
      </c>
      <c r="X6" s="159" t="s">
        <v>94</v>
      </c>
      <c r="Y6" s="159"/>
      <c r="Z6" s="159" t="s">
        <v>93</v>
      </c>
      <c r="AA6" s="159" t="s">
        <v>94</v>
      </c>
      <c r="AB6" s="159"/>
      <c r="AC6" s="159" t="s">
        <v>93</v>
      </c>
      <c r="AD6" s="159" t="s">
        <v>94</v>
      </c>
      <c r="AE6" s="159"/>
      <c r="AF6" s="159" t="s">
        <v>93</v>
      </c>
      <c r="AG6" s="159" t="s">
        <v>94</v>
      </c>
      <c r="AH6" s="159"/>
      <c r="AI6" s="159" t="s">
        <v>93</v>
      </c>
      <c r="AJ6" s="159" t="s">
        <v>94</v>
      </c>
      <c r="AK6" s="159"/>
      <c r="AL6" s="159" t="s">
        <v>93</v>
      </c>
      <c r="AM6" s="320" t="s">
        <v>94</v>
      </c>
      <c r="AN6" s="321"/>
      <c r="AO6" s="322" t="s">
        <v>161</v>
      </c>
      <c r="AP6" s="323" t="s">
        <v>162</v>
      </c>
      <c r="AQ6" s="415"/>
    </row>
    <row r="7" spans="1:46" ht="31.15" customHeight="1" thickBot="1" x14ac:dyDescent="0.3">
      <c r="A7" s="173" t="s">
        <v>8</v>
      </c>
      <c r="B7" s="174" t="s">
        <v>9</v>
      </c>
      <c r="C7" s="240" t="s">
        <v>10</v>
      </c>
      <c r="D7" s="242" t="s">
        <v>11</v>
      </c>
      <c r="E7" s="324">
        <v>175000</v>
      </c>
      <c r="F7" s="325">
        <v>171138</v>
      </c>
      <c r="G7" s="326">
        <f>F7/E7</f>
        <v>0.97793142857142856</v>
      </c>
      <c r="H7" s="327">
        <v>403450</v>
      </c>
      <c r="I7" s="328">
        <v>404307.27</v>
      </c>
      <c r="J7" s="326">
        <f>I7/H7</f>
        <v>1.0021248481844096</v>
      </c>
      <c r="K7" s="327">
        <v>522450</v>
      </c>
      <c r="L7" s="328">
        <v>516553.91</v>
      </c>
      <c r="M7" s="326">
        <f t="shared" ref="M7:M18" si="0">L7/K7</f>
        <v>0.98871453727629433</v>
      </c>
      <c r="N7" s="327">
        <v>476625</v>
      </c>
      <c r="O7" s="328">
        <v>483692.57</v>
      </c>
      <c r="P7" s="326">
        <v>1</v>
      </c>
      <c r="Q7" s="327">
        <v>469625</v>
      </c>
      <c r="R7" s="328">
        <v>471001.54</v>
      </c>
      <c r="S7" s="326">
        <f t="shared" ref="S7:S18" si="1">R7/Q7</f>
        <v>1.0029311471919085</v>
      </c>
      <c r="T7" s="327">
        <v>456625</v>
      </c>
      <c r="U7" s="328">
        <v>362873.48</v>
      </c>
      <c r="V7" s="326">
        <f t="shared" ref="V7:V12" si="2">U7/T7</f>
        <v>0.79468596769778266</v>
      </c>
      <c r="W7" s="327">
        <v>522625</v>
      </c>
      <c r="X7" s="328">
        <v>501357.56</v>
      </c>
      <c r="Y7" s="326">
        <f t="shared" ref="Y7:Y18" si="3">X7/W7</f>
        <v>0.95930650083712032</v>
      </c>
      <c r="Z7" s="327">
        <v>423625</v>
      </c>
      <c r="AA7" s="328">
        <v>460556.44</v>
      </c>
      <c r="AB7" s="326">
        <v>1</v>
      </c>
      <c r="AC7" s="327">
        <v>423625</v>
      </c>
      <c r="AD7" s="328">
        <v>444389.47</v>
      </c>
      <c r="AE7" s="326">
        <v>1</v>
      </c>
      <c r="AF7" s="327">
        <v>438550</v>
      </c>
      <c r="AG7" s="328">
        <v>493802.61</v>
      </c>
      <c r="AH7" s="326">
        <v>1</v>
      </c>
      <c r="AI7" s="327">
        <v>381950</v>
      </c>
      <c r="AJ7" s="328">
        <v>358834.12</v>
      </c>
      <c r="AK7" s="326">
        <f>AJ7/AI7</f>
        <v>0.93947930357376619</v>
      </c>
      <c r="AL7" s="327">
        <v>717350</v>
      </c>
      <c r="AM7" s="328">
        <v>742728.27</v>
      </c>
      <c r="AN7" s="326">
        <v>1</v>
      </c>
      <c r="AO7" s="329">
        <f>((G7+J7+M7+P7+S7+V7+AB7+AE7+AH7+AK7+AN7)/12)*100</f>
        <v>89.215560270796573</v>
      </c>
      <c r="AP7" s="330">
        <f>AO7/100</f>
        <v>0.89215560270796568</v>
      </c>
      <c r="AQ7" s="331">
        <f>AP7*5</f>
        <v>4.4607780135398283</v>
      </c>
      <c r="AS7" s="332">
        <f>E7+H7+K7+N7+Q7+T7+W7+Z7+AC7+AF7+AI7+AL7</f>
        <v>5411500</v>
      </c>
      <c r="AT7" s="332">
        <f>F7+I7+L7+O7+R7+U7+X7+AA7+AD7+AG7+AJ7+AM7</f>
        <v>5411235.2400000002</v>
      </c>
    </row>
    <row r="8" spans="1:46" ht="26.25" thickBot="1" x14ac:dyDescent="0.3">
      <c r="A8" s="175" t="s">
        <v>15</v>
      </c>
      <c r="B8" s="176" t="s">
        <v>12</v>
      </c>
      <c r="C8" s="241" t="s">
        <v>13</v>
      </c>
      <c r="D8" s="243" t="s">
        <v>14</v>
      </c>
      <c r="E8" s="324">
        <v>233560062.86000001</v>
      </c>
      <c r="F8" s="333">
        <v>21826961</v>
      </c>
      <c r="G8" s="326">
        <f t="shared" ref="G8:G18" si="4">F8/E8</f>
        <v>9.3453310179503854E-2</v>
      </c>
      <c r="H8" s="327">
        <v>101852998.54000001</v>
      </c>
      <c r="I8" s="328">
        <v>98146577.739999995</v>
      </c>
      <c r="J8" s="326">
        <f t="shared" ref="J8:J16" si="5">I8/H8</f>
        <v>0.9636100963827352</v>
      </c>
      <c r="K8" s="327">
        <v>87583060.840000004</v>
      </c>
      <c r="L8" s="328">
        <v>237083094.24000001</v>
      </c>
      <c r="M8" s="326">
        <v>1</v>
      </c>
      <c r="N8" s="327">
        <v>159813456.06999999</v>
      </c>
      <c r="O8" s="328">
        <v>77000563.840000004</v>
      </c>
      <c r="P8" s="326">
        <f t="shared" ref="P8:P17" si="6">O8/N8</f>
        <v>0.48181527221508141</v>
      </c>
      <c r="Q8" s="327">
        <v>281675305</v>
      </c>
      <c r="R8" s="328">
        <v>258624363.77000001</v>
      </c>
      <c r="S8" s="326">
        <f t="shared" si="1"/>
        <v>0.91816484860112257</v>
      </c>
      <c r="T8" s="327">
        <v>74269111.989999995</v>
      </c>
      <c r="U8" s="328">
        <v>110160618.90000001</v>
      </c>
      <c r="V8" s="326">
        <v>1</v>
      </c>
      <c r="W8" s="327">
        <v>254388965.77000001</v>
      </c>
      <c r="X8" s="328">
        <v>276086324.61000001</v>
      </c>
      <c r="Y8" s="326">
        <v>1</v>
      </c>
      <c r="Z8" s="327">
        <v>143291391.96000001</v>
      </c>
      <c r="AA8" s="328">
        <v>124247040.81999999</v>
      </c>
      <c r="AB8" s="326">
        <f t="shared" ref="AB8" si="7">AA8/Z8</f>
        <v>0.86709354358623114</v>
      </c>
      <c r="AC8" s="327">
        <v>157626871.61000001</v>
      </c>
      <c r="AD8" s="328">
        <v>158003752.34999999</v>
      </c>
      <c r="AE8" s="326">
        <f t="shared" ref="AE8:AE18" si="8">AD8/AC8</f>
        <v>1.0023909675815457</v>
      </c>
      <c r="AF8" s="327">
        <v>174807276.08000001</v>
      </c>
      <c r="AG8" s="328">
        <v>177242557.13</v>
      </c>
      <c r="AH8" s="326">
        <v>1</v>
      </c>
      <c r="AI8" s="327">
        <v>74627250.390000001</v>
      </c>
      <c r="AJ8" s="328">
        <v>88414146.049999997</v>
      </c>
      <c r="AK8" s="326">
        <v>1</v>
      </c>
      <c r="AL8" s="327">
        <v>87318925.890000001</v>
      </c>
      <c r="AM8" s="328">
        <v>179622754.18000001</v>
      </c>
      <c r="AN8" s="326">
        <v>1</v>
      </c>
      <c r="AO8" s="329">
        <f t="shared" ref="AO8:AO18" si="9">((G8+J8+M8+P8+S8+V8+AB8+AE8+AH8+AK8+AN8)/12)*100</f>
        <v>77.721066987885166</v>
      </c>
      <c r="AP8" s="330">
        <f t="shared" ref="AP8:AP18" si="10">AO8/100</f>
        <v>0.77721066987885168</v>
      </c>
      <c r="AQ8" s="334">
        <f>AP8*5</f>
        <v>3.8860533493942584</v>
      </c>
      <c r="AS8" s="332">
        <f>E8+H8+K8+N8+Q8+T8+W8+Z8+AC8+AF8+AI8+AL8</f>
        <v>1830814677</v>
      </c>
      <c r="AT8" s="332">
        <f t="shared" ref="AT8:AT19" si="11">F8+I8+L8+O8+R8+U8+X8+AA8+AD8+AG8+AJ8+AM8</f>
        <v>1806458754.6299996</v>
      </c>
    </row>
    <row r="9" spans="1:46" ht="26.25" thickBot="1" x14ac:dyDescent="0.3">
      <c r="A9" s="175" t="s">
        <v>16</v>
      </c>
      <c r="B9" s="176" t="s">
        <v>22</v>
      </c>
      <c r="C9" s="241" t="s">
        <v>23</v>
      </c>
      <c r="D9" s="243" t="s">
        <v>24</v>
      </c>
      <c r="E9" s="335">
        <v>2872874</v>
      </c>
      <c r="F9" s="336">
        <v>2690479.94</v>
      </c>
      <c r="G9" s="326">
        <f t="shared" si="4"/>
        <v>0.93651163956372607</v>
      </c>
      <c r="H9" s="337">
        <v>1908588</v>
      </c>
      <c r="I9" s="338">
        <v>1756139.05</v>
      </c>
      <c r="J9" s="326">
        <f t="shared" si="5"/>
        <v>0.92012474667136124</v>
      </c>
      <c r="K9" s="337">
        <v>2098761.52</v>
      </c>
      <c r="L9" s="338">
        <v>1933626.53</v>
      </c>
      <c r="M9" s="326">
        <f t="shared" si="0"/>
        <v>0.92131788751301291</v>
      </c>
      <c r="N9" s="337">
        <v>3378592</v>
      </c>
      <c r="O9" s="338">
        <v>3738857.84</v>
      </c>
      <c r="P9" s="326">
        <v>1</v>
      </c>
      <c r="Q9" s="337">
        <v>2441985</v>
      </c>
      <c r="R9" s="338">
        <v>1852581.7</v>
      </c>
      <c r="S9" s="326">
        <f t="shared" si="1"/>
        <v>0.75863762471923457</v>
      </c>
      <c r="T9" s="337">
        <v>1868185.42</v>
      </c>
      <c r="U9" s="338">
        <v>2070760.88</v>
      </c>
      <c r="V9" s="326">
        <v>1</v>
      </c>
      <c r="W9" s="337">
        <v>3028592</v>
      </c>
      <c r="X9" s="338">
        <v>3303661.09</v>
      </c>
      <c r="Y9" s="326">
        <v>1</v>
      </c>
      <c r="Z9" s="337">
        <v>2103985</v>
      </c>
      <c r="AA9" s="338">
        <v>2213385.94</v>
      </c>
      <c r="AB9" s="326">
        <v>1</v>
      </c>
      <c r="AC9" s="337">
        <v>2165515.75</v>
      </c>
      <c r="AD9" s="338">
        <v>1754483.72</v>
      </c>
      <c r="AE9" s="326">
        <f t="shared" si="8"/>
        <v>0.81019208472623672</v>
      </c>
      <c r="AF9" s="337">
        <v>3434311</v>
      </c>
      <c r="AG9" s="338">
        <v>3228484.35</v>
      </c>
      <c r="AH9" s="326">
        <f t="shared" ref="AH9:AH18" si="12">AG9/AF9</f>
        <v>0.94006755649095264</v>
      </c>
      <c r="AI9" s="337">
        <v>2510383</v>
      </c>
      <c r="AJ9" s="338">
        <v>1726094.81</v>
      </c>
      <c r="AK9" s="326">
        <f t="shared" ref="AK9:AK17" si="13">AJ9/AI9</f>
        <v>0.68758225736869638</v>
      </c>
      <c r="AL9" s="337">
        <v>1363327.31</v>
      </c>
      <c r="AM9" s="338">
        <v>2906124.2</v>
      </c>
      <c r="AN9" s="326">
        <v>1</v>
      </c>
      <c r="AO9" s="329">
        <f t="shared" si="9"/>
        <v>83.120281642110157</v>
      </c>
      <c r="AP9" s="330">
        <f t="shared" si="10"/>
        <v>0.83120281642110161</v>
      </c>
      <c r="AQ9" s="334">
        <f t="shared" ref="AQ9:AQ18" si="14">AP9*5</f>
        <v>4.156014082105508</v>
      </c>
      <c r="AS9" s="332">
        <f t="shared" ref="AS9:AS18" si="15">E9+H9+K9+N9+Q9+T9+W9+Z9+AC9+AF9+AI9+AL9</f>
        <v>29175099.999999996</v>
      </c>
      <c r="AT9" s="332">
        <f t="shared" si="11"/>
        <v>29174680.049999997</v>
      </c>
    </row>
    <row r="10" spans="1:46" ht="30" customHeight="1" thickBot="1" x14ac:dyDescent="0.3">
      <c r="A10" s="175" t="s">
        <v>17</v>
      </c>
      <c r="B10" s="176" t="s">
        <v>25</v>
      </c>
      <c r="C10" s="241" t="s">
        <v>26</v>
      </c>
      <c r="D10" s="243" t="s">
        <v>27</v>
      </c>
      <c r="E10" s="335">
        <v>1042300</v>
      </c>
      <c r="F10" s="336">
        <v>167871</v>
      </c>
      <c r="G10" s="326">
        <f t="shared" si="4"/>
        <v>0.16105823659215196</v>
      </c>
      <c r="H10" s="337">
        <v>148400</v>
      </c>
      <c r="I10" s="338">
        <v>307304.52</v>
      </c>
      <c r="J10" s="326">
        <v>1</v>
      </c>
      <c r="K10" s="337">
        <v>234700</v>
      </c>
      <c r="L10" s="338">
        <v>303009.27</v>
      </c>
      <c r="M10" s="326">
        <v>1</v>
      </c>
      <c r="N10" s="337">
        <v>294400</v>
      </c>
      <c r="O10" s="338">
        <v>283878.28999999998</v>
      </c>
      <c r="P10" s="326">
        <f t="shared" si="6"/>
        <v>0.96426049592391294</v>
      </c>
      <c r="Q10" s="337">
        <v>251400</v>
      </c>
      <c r="R10" s="338">
        <v>457912.46</v>
      </c>
      <c r="S10" s="326">
        <v>1</v>
      </c>
      <c r="T10" s="337">
        <v>251400</v>
      </c>
      <c r="U10" s="338">
        <v>366322.07</v>
      </c>
      <c r="V10" s="326">
        <v>1</v>
      </c>
      <c r="W10" s="337">
        <v>1138200</v>
      </c>
      <c r="X10" s="338">
        <v>429625.7</v>
      </c>
      <c r="Y10" s="326">
        <f t="shared" si="3"/>
        <v>0.37746063960639609</v>
      </c>
      <c r="Z10" s="337">
        <v>251400</v>
      </c>
      <c r="AA10" s="338">
        <v>390792.31</v>
      </c>
      <c r="AB10" s="326">
        <v>1</v>
      </c>
      <c r="AC10" s="337">
        <v>251050</v>
      </c>
      <c r="AD10" s="338">
        <v>458558.93</v>
      </c>
      <c r="AE10" s="326">
        <v>1</v>
      </c>
      <c r="AF10" s="337">
        <v>251750</v>
      </c>
      <c r="AG10" s="338">
        <v>390661.04</v>
      </c>
      <c r="AH10" s="326">
        <v>1</v>
      </c>
      <c r="AI10" s="337">
        <v>269000</v>
      </c>
      <c r="AJ10" s="338">
        <v>340763.74</v>
      </c>
      <c r="AK10" s="326">
        <v>1</v>
      </c>
      <c r="AL10" s="337">
        <v>290800</v>
      </c>
      <c r="AM10" s="338">
        <v>777961.31</v>
      </c>
      <c r="AN10" s="326">
        <v>1</v>
      </c>
      <c r="AO10" s="329">
        <f t="shared" si="9"/>
        <v>84.377656104300542</v>
      </c>
      <c r="AP10" s="330">
        <f t="shared" si="10"/>
        <v>0.84377656104300547</v>
      </c>
      <c r="AQ10" s="334">
        <f t="shared" si="14"/>
        <v>4.2188828052150278</v>
      </c>
      <c r="AS10" s="332">
        <f t="shared" si="15"/>
        <v>4674800</v>
      </c>
      <c r="AT10" s="332">
        <f t="shared" si="11"/>
        <v>4674660.6400000006</v>
      </c>
    </row>
    <row r="11" spans="1:46" ht="40.15" customHeight="1" thickBot="1" x14ac:dyDescent="0.3">
      <c r="A11" s="175" t="s">
        <v>18</v>
      </c>
      <c r="B11" s="176" t="s">
        <v>28</v>
      </c>
      <c r="C11" s="241" t="s">
        <v>29</v>
      </c>
      <c r="D11" s="243" t="s">
        <v>30</v>
      </c>
      <c r="E11" s="335">
        <v>751500</v>
      </c>
      <c r="F11" s="336">
        <v>298536.19</v>
      </c>
      <c r="G11" s="326">
        <f t="shared" si="4"/>
        <v>0.39725374584165002</v>
      </c>
      <c r="H11" s="337">
        <v>1186020</v>
      </c>
      <c r="I11" s="338">
        <v>797352.56</v>
      </c>
      <c r="J11" s="326">
        <f t="shared" si="5"/>
        <v>0.67229267634609879</v>
      </c>
      <c r="K11" s="337">
        <v>417020</v>
      </c>
      <c r="L11" s="338">
        <v>584445.28</v>
      </c>
      <c r="M11" s="326">
        <v>1</v>
      </c>
      <c r="N11" s="337">
        <v>493350</v>
      </c>
      <c r="O11" s="338">
        <v>497415.32</v>
      </c>
      <c r="P11" s="326">
        <v>1</v>
      </c>
      <c r="Q11" s="337">
        <v>461350</v>
      </c>
      <c r="R11" s="338">
        <v>687989.86</v>
      </c>
      <c r="S11" s="326">
        <v>1</v>
      </c>
      <c r="T11" s="337">
        <v>493350</v>
      </c>
      <c r="U11" s="338">
        <v>656973.18999999994</v>
      </c>
      <c r="V11" s="326">
        <v>1</v>
      </c>
      <c r="W11" s="337">
        <v>1458150</v>
      </c>
      <c r="X11" s="338">
        <v>865047.21</v>
      </c>
      <c r="Y11" s="326">
        <f t="shared" si="3"/>
        <v>0.59324980969036101</v>
      </c>
      <c r="Z11" s="337">
        <v>493350</v>
      </c>
      <c r="AA11" s="338">
        <v>573495.09</v>
      </c>
      <c r="AB11" s="326">
        <v>1</v>
      </c>
      <c r="AC11" s="337">
        <v>493350</v>
      </c>
      <c r="AD11" s="338">
        <v>431763.31</v>
      </c>
      <c r="AE11" s="326">
        <f t="shared" si="8"/>
        <v>0.87516633221850615</v>
      </c>
      <c r="AF11" s="337">
        <v>492020</v>
      </c>
      <c r="AG11" s="338">
        <v>644694.01</v>
      </c>
      <c r="AH11" s="326">
        <v>1</v>
      </c>
      <c r="AI11" s="337">
        <v>492020</v>
      </c>
      <c r="AJ11" s="338">
        <v>567729.57999999996</v>
      </c>
      <c r="AK11" s="326">
        <v>1</v>
      </c>
      <c r="AL11" s="337">
        <v>524220</v>
      </c>
      <c r="AM11" s="338">
        <v>1136258.1599999999</v>
      </c>
      <c r="AN11" s="326">
        <v>1</v>
      </c>
      <c r="AO11" s="329">
        <f t="shared" si="9"/>
        <v>82.872606286718792</v>
      </c>
      <c r="AP11" s="330">
        <f t="shared" si="10"/>
        <v>0.82872606286718797</v>
      </c>
      <c r="AQ11" s="334">
        <f t="shared" si="14"/>
        <v>4.1436303143359403</v>
      </c>
      <c r="AS11" s="332">
        <f t="shared" si="15"/>
        <v>7755700</v>
      </c>
      <c r="AT11" s="332">
        <f t="shared" si="11"/>
        <v>7741699.7599999988</v>
      </c>
    </row>
    <row r="12" spans="1:46" ht="42" customHeight="1" thickBot="1" x14ac:dyDescent="0.3">
      <c r="A12" s="175" t="s">
        <v>19</v>
      </c>
      <c r="B12" s="176" t="s">
        <v>31</v>
      </c>
      <c r="C12" s="241" t="s">
        <v>32</v>
      </c>
      <c r="D12" s="243" t="s">
        <v>33</v>
      </c>
      <c r="E12" s="335">
        <v>220000</v>
      </c>
      <c r="F12" s="336">
        <v>162299</v>
      </c>
      <c r="G12" s="326">
        <f t="shared" si="4"/>
        <v>0.73772272727272725</v>
      </c>
      <c r="H12" s="337">
        <v>570200</v>
      </c>
      <c r="I12" s="338">
        <v>558603.16</v>
      </c>
      <c r="J12" s="326">
        <f t="shared" si="5"/>
        <v>0.97966180287618387</v>
      </c>
      <c r="K12" s="337">
        <v>638000</v>
      </c>
      <c r="L12" s="338">
        <v>552467.78</v>
      </c>
      <c r="M12" s="326">
        <f t="shared" si="0"/>
        <v>0.86593695924764891</v>
      </c>
      <c r="N12" s="337">
        <v>522000</v>
      </c>
      <c r="O12" s="338">
        <v>561439.84</v>
      </c>
      <c r="P12" s="326">
        <v>1</v>
      </c>
      <c r="Q12" s="337">
        <v>507000</v>
      </c>
      <c r="R12" s="338">
        <v>494546.57</v>
      </c>
      <c r="S12" s="326">
        <f t="shared" si="1"/>
        <v>0.97543702169625246</v>
      </c>
      <c r="T12" s="337">
        <v>482000</v>
      </c>
      <c r="U12" s="338">
        <v>426781.53</v>
      </c>
      <c r="V12" s="326">
        <f t="shared" si="2"/>
        <v>0.88543885892116192</v>
      </c>
      <c r="W12" s="337">
        <v>488500</v>
      </c>
      <c r="X12" s="338">
        <v>433197.71</v>
      </c>
      <c r="Y12" s="326">
        <f t="shared" si="3"/>
        <v>0.886791627430911</v>
      </c>
      <c r="Z12" s="337">
        <v>555000</v>
      </c>
      <c r="AA12" s="338">
        <v>441803.83</v>
      </c>
      <c r="AB12" s="326">
        <f t="shared" ref="AB12:AB15" si="16">AA12/Z12</f>
        <v>0.79604293693693695</v>
      </c>
      <c r="AC12" s="337">
        <v>422000</v>
      </c>
      <c r="AD12" s="338">
        <v>396385.19</v>
      </c>
      <c r="AE12" s="326">
        <f t="shared" si="8"/>
        <v>0.93930139810426538</v>
      </c>
      <c r="AF12" s="337">
        <v>506700</v>
      </c>
      <c r="AG12" s="338">
        <v>449433</v>
      </c>
      <c r="AH12" s="326">
        <f t="shared" si="12"/>
        <v>0.88698046181172296</v>
      </c>
      <c r="AI12" s="337">
        <v>537600</v>
      </c>
      <c r="AJ12" s="338">
        <v>465701.48</v>
      </c>
      <c r="AK12" s="326">
        <f t="shared" si="13"/>
        <v>0.86626019345238092</v>
      </c>
      <c r="AL12" s="337">
        <v>375800</v>
      </c>
      <c r="AM12" s="338">
        <v>882053.59</v>
      </c>
      <c r="AN12" s="326">
        <v>1</v>
      </c>
      <c r="AO12" s="329">
        <f t="shared" si="9"/>
        <v>82.773186335994012</v>
      </c>
      <c r="AP12" s="330">
        <f t="shared" si="10"/>
        <v>0.82773186335994009</v>
      </c>
      <c r="AQ12" s="334">
        <f t="shared" si="14"/>
        <v>4.1386593167997008</v>
      </c>
      <c r="AS12" s="332">
        <f t="shared" si="15"/>
        <v>5824800</v>
      </c>
      <c r="AT12" s="332">
        <f t="shared" si="11"/>
        <v>5824712.6799999997</v>
      </c>
    </row>
    <row r="13" spans="1:46" ht="16.5" thickBot="1" x14ac:dyDescent="0.3">
      <c r="A13" s="175" t="s">
        <v>20</v>
      </c>
      <c r="B13" s="176" t="s">
        <v>34</v>
      </c>
      <c r="C13" s="241" t="s">
        <v>35</v>
      </c>
      <c r="D13" s="243" t="s">
        <v>36</v>
      </c>
      <c r="E13" s="335">
        <v>14949900</v>
      </c>
      <c r="F13" s="336">
        <v>598436.75300000003</v>
      </c>
      <c r="G13" s="326">
        <f t="shared" si="4"/>
        <v>4.0029482003224107E-2</v>
      </c>
      <c r="H13" s="337">
        <v>11430600</v>
      </c>
      <c r="I13" s="338">
        <v>3484113.11</v>
      </c>
      <c r="J13" s="326">
        <f t="shared" si="5"/>
        <v>0.30480579409654784</v>
      </c>
      <c r="K13" s="337">
        <v>33588375.960000001</v>
      </c>
      <c r="L13" s="338">
        <v>8433820.3499999996</v>
      </c>
      <c r="M13" s="326">
        <f t="shared" si="0"/>
        <v>0.25109342470275242</v>
      </c>
      <c r="N13" s="337">
        <v>4726440</v>
      </c>
      <c r="O13" s="338">
        <v>6450426.6299999999</v>
      </c>
      <c r="P13" s="326">
        <v>1</v>
      </c>
      <c r="Q13" s="337">
        <v>1734000</v>
      </c>
      <c r="R13" s="338">
        <v>12442883.289999999</v>
      </c>
      <c r="S13" s="326">
        <v>1</v>
      </c>
      <c r="T13" s="337">
        <v>1555300</v>
      </c>
      <c r="U13" s="338">
        <v>13230555.279999999</v>
      </c>
      <c r="V13" s="326">
        <v>1</v>
      </c>
      <c r="W13" s="337">
        <v>3859033.43</v>
      </c>
      <c r="X13" s="338">
        <v>9008831.9399999995</v>
      </c>
      <c r="Y13" s="326">
        <v>1</v>
      </c>
      <c r="Z13" s="337">
        <v>3320800</v>
      </c>
      <c r="AA13" s="338">
        <v>10089181.09</v>
      </c>
      <c r="AB13" s="326">
        <v>1</v>
      </c>
      <c r="AC13" s="337">
        <v>1298500</v>
      </c>
      <c r="AD13" s="338">
        <v>4740279.51</v>
      </c>
      <c r="AE13" s="326">
        <v>1</v>
      </c>
      <c r="AF13" s="337">
        <v>9334750.6099999994</v>
      </c>
      <c r="AG13" s="338">
        <v>3963395.67</v>
      </c>
      <c r="AH13" s="326">
        <f t="shared" si="12"/>
        <v>0.42458506237479443</v>
      </c>
      <c r="AI13" s="337">
        <v>83058500</v>
      </c>
      <c r="AJ13" s="338">
        <v>89605236.409999996</v>
      </c>
      <c r="AK13" s="326">
        <v>1</v>
      </c>
      <c r="AL13" s="337">
        <v>50064500</v>
      </c>
      <c r="AM13" s="338">
        <v>51871066.509999998</v>
      </c>
      <c r="AN13" s="326">
        <v>1</v>
      </c>
      <c r="AO13" s="329">
        <f t="shared" si="9"/>
        <v>66.837614693144332</v>
      </c>
      <c r="AP13" s="330">
        <v>0</v>
      </c>
      <c r="AQ13" s="334">
        <f t="shared" si="14"/>
        <v>0</v>
      </c>
      <c r="AS13" s="332">
        <f t="shared" si="15"/>
        <v>218920700</v>
      </c>
      <c r="AT13" s="332">
        <f t="shared" si="11"/>
        <v>213918226.54299998</v>
      </c>
    </row>
    <row r="14" spans="1:46" ht="29.25" customHeight="1" thickBot="1" x14ac:dyDescent="0.3">
      <c r="A14" s="175" t="s">
        <v>21</v>
      </c>
      <c r="B14" s="176" t="s">
        <v>40</v>
      </c>
      <c r="C14" s="241" t="s">
        <v>38</v>
      </c>
      <c r="D14" s="243" t="s">
        <v>39</v>
      </c>
      <c r="E14" s="335">
        <v>143855566</v>
      </c>
      <c r="F14" s="336">
        <v>58617413.439999998</v>
      </c>
      <c r="G14" s="326">
        <f t="shared" si="4"/>
        <v>0.40747407326595897</v>
      </c>
      <c r="H14" s="337">
        <v>204516920.53</v>
      </c>
      <c r="I14" s="338">
        <v>206917373.22</v>
      </c>
      <c r="J14" s="326">
        <v>1</v>
      </c>
      <c r="K14" s="337">
        <v>259818955.05000001</v>
      </c>
      <c r="L14" s="338">
        <v>199818040.84</v>
      </c>
      <c r="M14" s="326">
        <f t="shared" si="0"/>
        <v>0.76906644783305622</v>
      </c>
      <c r="N14" s="337">
        <v>204188187.58000001</v>
      </c>
      <c r="O14" s="338">
        <v>277543906.88</v>
      </c>
      <c r="P14" s="326">
        <v>1</v>
      </c>
      <c r="Q14" s="337">
        <v>345320260.61000001</v>
      </c>
      <c r="R14" s="338">
        <v>135216714.30000001</v>
      </c>
      <c r="S14" s="326">
        <f t="shared" si="1"/>
        <v>0.39156901498088442</v>
      </c>
      <c r="T14" s="337">
        <v>220904156</v>
      </c>
      <c r="U14" s="338">
        <v>264961617.21000001</v>
      </c>
      <c r="V14" s="326">
        <v>1</v>
      </c>
      <c r="W14" s="337">
        <v>331395278.95999998</v>
      </c>
      <c r="X14" s="338">
        <v>202827049.63</v>
      </c>
      <c r="Y14" s="326">
        <f t="shared" si="3"/>
        <v>0.61203964723493121</v>
      </c>
      <c r="Z14" s="337">
        <v>211370494</v>
      </c>
      <c r="AA14" s="338">
        <v>192651612.25</v>
      </c>
      <c r="AB14" s="326">
        <f t="shared" si="16"/>
        <v>0.9114404220013792</v>
      </c>
      <c r="AC14" s="337">
        <v>231561689.30000001</v>
      </c>
      <c r="AD14" s="338">
        <v>293321796.02999997</v>
      </c>
      <c r="AE14" s="326">
        <v>1</v>
      </c>
      <c r="AF14" s="337">
        <v>194931717.02000001</v>
      </c>
      <c r="AG14" s="338">
        <v>274080648.79000002</v>
      </c>
      <c r="AH14" s="326">
        <v>1</v>
      </c>
      <c r="AI14" s="337">
        <v>176998465.21000001</v>
      </c>
      <c r="AJ14" s="338">
        <v>219135078.00999999</v>
      </c>
      <c r="AK14" s="326">
        <v>1</v>
      </c>
      <c r="AL14" s="337">
        <v>106455109.73999999</v>
      </c>
      <c r="AM14" s="338">
        <v>284148892.95999998</v>
      </c>
      <c r="AN14" s="326">
        <v>1</v>
      </c>
      <c r="AO14" s="329">
        <f t="shared" si="9"/>
        <v>78.996249650677314</v>
      </c>
      <c r="AP14" s="330">
        <f t="shared" si="10"/>
        <v>0.78996249650677308</v>
      </c>
      <c r="AQ14" s="334">
        <f>AP14*5</f>
        <v>3.9498124825338654</v>
      </c>
      <c r="AS14" s="332">
        <f t="shared" si="15"/>
        <v>2631316800</v>
      </c>
      <c r="AT14" s="332">
        <f t="shared" si="11"/>
        <v>2609240143.5599999</v>
      </c>
    </row>
    <row r="15" spans="1:46" ht="16.5" thickBot="1" x14ac:dyDescent="0.3">
      <c r="A15" s="177">
        <v>9</v>
      </c>
      <c r="B15" s="176" t="s">
        <v>41</v>
      </c>
      <c r="C15" s="241" t="s">
        <v>42</v>
      </c>
      <c r="D15" s="243" t="s">
        <v>43</v>
      </c>
      <c r="E15" s="335">
        <v>4370200</v>
      </c>
      <c r="F15" s="336">
        <v>4266942.75</v>
      </c>
      <c r="G15" s="326">
        <f t="shared" si="4"/>
        <v>0.97637242002654345</v>
      </c>
      <c r="H15" s="337">
        <v>12389000</v>
      </c>
      <c r="I15" s="338">
        <v>11467191.359999999</v>
      </c>
      <c r="J15" s="326">
        <f t="shared" si="5"/>
        <v>0.92559458874808298</v>
      </c>
      <c r="K15" s="337">
        <v>12631230</v>
      </c>
      <c r="L15" s="338">
        <v>12025391.92</v>
      </c>
      <c r="M15" s="326">
        <f t="shared" si="0"/>
        <v>0.95203649367480447</v>
      </c>
      <c r="N15" s="337">
        <v>11147880</v>
      </c>
      <c r="O15" s="338">
        <v>11128946.460000001</v>
      </c>
      <c r="P15" s="326">
        <f t="shared" si="6"/>
        <v>0.99830160173952365</v>
      </c>
      <c r="Q15" s="337">
        <v>13117030</v>
      </c>
      <c r="R15" s="338">
        <v>11992816.82</v>
      </c>
      <c r="S15" s="326">
        <f t="shared" si="1"/>
        <v>0.91429361829621492</v>
      </c>
      <c r="T15" s="337">
        <v>13009380</v>
      </c>
      <c r="U15" s="338">
        <v>14719935.26</v>
      </c>
      <c r="V15" s="326">
        <v>1</v>
      </c>
      <c r="W15" s="337">
        <v>13611330</v>
      </c>
      <c r="X15" s="338">
        <v>13030773.960000001</v>
      </c>
      <c r="Y15" s="326">
        <f t="shared" si="3"/>
        <v>0.95734758910407736</v>
      </c>
      <c r="Z15" s="337">
        <v>12141430</v>
      </c>
      <c r="AA15" s="338">
        <v>11355637.15</v>
      </c>
      <c r="AB15" s="326">
        <f t="shared" si="16"/>
        <v>0.9352800411483656</v>
      </c>
      <c r="AC15" s="337">
        <v>12224830</v>
      </c>
      <c r="AD15" s="338">
        <v>11893460.68</v>
      </c>
      <c r="AE15" s="326">
        <f t="shared" si="8"/>
        <v>0.97289374821572161</v>
      </c>
      <c r="AF15" s="337">
        <v>13441530</v>
      </c>
      <c r="AG15" s="338">
        <v>13466074.359999999</v>
      </c>
      <c r="AH15" s="326">
        <f t="shared" si="12"/>
        <v>1.0018260093903</v>
      </c>
      <c r="AI15" s="337">
        <v>13740930</v>
      </c>
      <c r="AJ15" s="338">
        <v>15944016.99</v>
      </c>
      <c r="AK15" s="326">
        <v>1</v>
      </c>
      <c r="AL15" s="337">
        <v>13378730</v>
      </c>
      <c r="AM15" s="338">
        <v>13852155.960000001</v>
      </c>
      <c r="AN15" s="326">
        <v>1</v>
      </c>
      <c r="AO15" s="329">
        <f t="shared" si="9"/>
        <v>88.971654343662976</v>
      </c>
      <c r="AP15" s="330">
        <f t="shared" si="10"/>
        <v>0.88971654343662976</v>
      </c>
      <c r="AQ15" s="334">
        <f t="shared" si="14"/>
        <v>4.4485827171831485</v>
      </c>
      <c r="AS15" s="332">
        <f t="shared" si="15"/>
        <v>145203500</v>
      </c>
      <c r="AT15" s="332">
        <f t="shared" si="11"/>
        <v>145143343.67000002</v>
      </c>
    </row>
    <row r="16" spans="1:46" ht="26.25" thickBot="1" x14ac:dyDescent="0.3">
      <c r="A16" s="177">
        <v>10</v>
      </c>
      <c r="B16" s="176" t="s">
        <v>44</v>
      </c>
      <c r="C16" s="241" t="s">
        <v>45</v>
      </c>
      <c r="D16" s="243" t="s">
        <v>46</v>
      </c>
      <c r="E16" s="335">
        <v>9024260</v>
      </c>
      <c r="F16" s="336">
        <v>8601872</v>
      </c>
      <c r="G16" s="326">
        <f t="shared" si="4"/>
        <v>0.95319416772123144</v>
      </c>
      <c r="H16" s="337">
        <v>7026380</v>
      </c>
      <c r="I16" s="338">
        <v>7008001.1299999999</v>
      </c>
      <c r="J16" s="326">
        <f t="shared" si="5"/>
        <v>0.99738430457789073</v>
      </c>
      <c r="K16" s="337">
        <v>6636800</v>
      </c>
      <c r="L16" s="338">
        <v>6818679.21</v>
      </c>
      <c r="M16" s="326">
        <v>1</v>
      </c>
      <c r="N16" s="337">
        <v>9903720</v>
      </c>
      <c r="O16" s="338">
        <v>8431232.1099999994</v>
      </c>
      <c r="P16" s="326">
        <f t="shared" si="6"/>
        <v>0.85131971723756317</v>
      </c>
      <c r="Q16" s="337">
        <v>8651330</v>
      </c>
      <c r="R16" s="338">
        <v>9070485.8000000007</v>
      </c>
      <c r="S16" s="326">
        <v>1</v>
      </c>
      <c r="T16" s="337">
        <v>8503211</v>
      </c>
      <c r="U16" s="338">
        <v>8564085.5800000001</v>
      </c>
      <c r="V16" s="326">
        <v>1</v>
      </c>
      <c r="W16" s="337">
        <v>13815620</v>
      </c>
      <c r="X16" s="338">
        <v>9713970.8599999994</v>
      </c>
      <c r="Y16" s="326">
        <f t="shared" si="3"/>
        <v>0.70311508712602111</v>
      </c>
      <c r="Z16" s="337">
        <v>8426916</v>
      </c>
      <c r="AA16" s="338">
        <v>12492777.51</v>
      </c>
      <c r="AB16" s="326">
        <v>1</v>
      </c>
      <c r="AC16" s="337">
        <v>8609547</v>
      </c>
      <c r="AD16" s="338">
        <v>8108295.5800000001</v>
      </c>
      <c r="AE16" s="326">
        <f t="shared" si="8"/>
        <v>0.9417795825959252</v>
      </c>
      <c r="AF16" s="337">
        <v>12987590</v>
      </c>
      <c r="AG16" s="338">
        <v>13505644.390000001</v>
      </c>
      <c r="AH16" s="326">
        <v>1</v>
      </c>
      <c r="AI16" s="337">
        <v>10233962</v>
      </c>
      <c r="AJ16" s="338">
        <v>254730.53</v>
      </c>
      <c r="AK16" s="326">
        <f>AJ16/AI16</f>
        <v>2.4890705085674539E-2</v>
      </c>
      <c r="AL16" s="337">
        <v>7147164</v>
      </c>
      <c r="AM16" s="338">
        <v>18185771.07</v>
      </c>
      <c r="AN16" s="326">
        <v>1</v>
      </c>
      <c r="AO16" s="329">
        <f t="shared" si="9"/>
        <v>81.40473731015237</v>
      </c>
      <c r="AP16" s="330">
        <f t="shared" si="10"/>
        <v>0.81404737310152375</v>
      </c>
      <c r="AQ16" s="334">
        <f t="shared" si="14"/>
        <v>4.0702368655076189</v>
      </c>
      <c r="AS16" s="332">
        <f t="shared" si="15"/>
        <v>110966500</v>
      </c>
      <c r="AT16" s="332">
        <f t="shared" si="11"/>
        <v>110755545.77000001</v>
      </c>
    </row>
    <row r="17" spans="1:46" ht="24" customHeight="1" thickBot="1" x14ac:dyDescent="0.3">
      <c r="A17" s="177">
        <v>11</v>
      </c>
      <c r="B17" s="176" t="s">
        <v>47</v>
      </c>
      <c r="C17" s="241" t="s">
        <v>48</v>
      </c>
      <c r="D17" s="243" t="s">
        <v>49</v>
      </c>
      <c r="E17" s="335">
        <v>1168850</v>
      </c>
      <c r="F17" s="336">
        <v>297402.5</v>
      </c>
      <c r="G17" s="326">
        <f t="shared" si="4"/>
        <v>0.25444026179578216</v>
      </c>
      <c r="H17" s="337">
        <v>1188900</v>
      </c>
      <c r="I17" s="338">
        <v>1341756.3999999999</v>
      </c>
      <c r="J17" s="326">
        <v>1</v>
      </c>
      <c r="K17" s="337">
        <v>1302050</v>
      </c>
      <c r="L17" s="338">
        <v>1581887.39</v>
      </c>
      <c r="M17" s="326">
        <v>1</v>
      </c>
      <c r="N17" s="337">
        <v>1511200</v>
      </c>
      <c r="O17" s="338">
        <v>1269630.5900000001</v>
      </c>
      <c r="P17" s="326">
        <f t="shared" si="6"/>
        <v>0.84014729354155648</v>
      </c>
      <c r="Q17" s="337">
        <v>2400350</v>
      </c>
      <c r="R17" s="338">
        <v>1478316.65</v>
      </c>
      <c r="S17" s="326">
        <f t="shared" si="1"/>
        <v>0.61587545566271584</v>
      </c>
      <c r="T17" s="337">
        <v>1481150</v>
      </c>
      <c r="U17" s="338">
        <v>1879464.82</v>
      </c>
      <c r="V17" s="326">
        <v>1</v>
      </c>
      <c r="W17" s="337">
        <v>1529500</v>
      </c>
      <c r="X17" s="338">
        <v>2393753.54</v>
      </c>
      <c r="Y17" s="326">
        <v>1</v>
      </c>
      <c r="Z17" s="337">
        <v>1499750</v>
      </c>
      <c r="AA17" s="338">
        <v>1723382.54</v>
      </c>
      <c r="AB17" s="326">
        <v>1</v>
      </c>
      <c r="AC17" s="337">
        <v>1481150</v>
      </c>
      <c r="AD17" s="338">
        <v>1328905.53</v>
      </c>
      <c r="AE17" s="326">
        <f t="shared" si="8"/>
        <v>0.89721198393140467</v>
      </c>
      <c r="AF17" s="337">
        <v>1809300</v>
      </c>
      <c r="AG17" s="338">
        <v>1229078.33</v>
      </c>
      <c r="AH17" s="326">
        <f t="shared" si="12"/>
        <v>0.67931151826673308</v>
      </c>
      <c r="AI17" s="337">
        <v>1753400</v>
      </c>
      <c r="AJ17" s="338">
        <v>1476194.54</v>
      </c>
      <c r="AK17" s="326">
        <f t="shared" si="13"/>
        <v>0.84190403786928258</v>
      </c>
      <c r="AL17" s="337">
        <v>1154200</v>
      </c>
      <c r="AM17" s="338">
        <v>2279219.7599999998</v>
      </c>
      <c r="AN17" s="326">
        <v>1</v>
      </c>
      <c r="AO17" s="329">
        <f t="shared" si="9"/>
        <v>76.074087925562281</v>
      </c>
      <c r="AP17" s="330">
        <f t="shared" si="10"/>
        <v>0.76074087925562284</v>
      </c>
      <c r="AQ17" s="334">
        <f t="shared" si="14"/>
        <v>3.8037043962781141</v>
      </c>
      <c r="AS17" s="332">
        <f t="shared" si="15"/>
        <v>18279800</v>
      </c>
      <c r="AT17" s="332">
        <f t="shared" si="11"/>
        <v>18278992.589999996</v>
      </c>
    </row>
    <row r="18" spans="1:46" ht="32.450000000000003" customHeight="1" thickBot="1" x14ac:dyDescent="0.3">
      <c r="A18" s="175" t="s">
        <v>37</v>
      </c>
      <c r="B18" s="176" t="s">
        <v>50</v>
      </c>
      <c r="C18" s="241" t="s">
        <v>51</v>
      </c>
      <c r="D18" s="243" t="s">
        <v>52</v>
      </c>
      <c r="E18" s="339">
        <v>9855900</v>
      </c>
      <c r="F18" s="340">
        <v>8842631.6099999994</v>
      </c>
      <c r="G18" s="326">
        <f t="shared" si="4"/>
        <v>0.89719169330045956</v>
      </c>
      <c r="H18" s="341">
        <v>8976300</v>
      </c>
      <c r="I18" s="342">
        <v>9129915.6600000001</v>
      </c>
      <c r="J18" s="326">
        <v>1</v>
      </c>
      <c r="K18" s="343">
        <v>9879300</v>
      </c>
      <c r="L18" s="342">
        <v>9614231.6899999995</v>
      </c>
      <c r="M18" s="326">
        <f t="shared" si="0"/>
        <v>0.97316932272529422</v>
      </c>
      <c r="N18" s="343">
        <v>9293050</v>
      </c>
      <c r="O18" s="342">
        <v>9490759.3100000005</v>
      </c>
      <c r="P18" s="326">
        <v>1</v>
      </c>
      <c r="Q18" s="343">
        <v>9565050</v>
      </c>
      <c r="R18" s="342">
        <v>9530104.8499999996</v>
      </c>
      <c r="S18" s="326">
        <f t="shared" si="1"/>
        <v>0.99634657947423166</v>
      </c>
      <c r="T18" s="343">
        <v>8886550</v>
      </c>
      <c r="U18" s="342">
        <v>9220084.5600000005</v>
      </c>
      <c r="V18" s="326">
        <v>1</v>
      </c>
      <c r="W18" s="343">
        <v>9381050</v>
      </c>
      <c r="X18" s="342">
        <v>9123127.1899999995</v>
      </c>
      <c r="Y18" s="326">
        <f t="shared" si="3"/>
        <v>0.97250597640989012</v>
      </c>
      <c r="Z18" s="343">
        <v>9377950</v>
      </c>
      <c r="AA18" s="342">
        <v>9433087.0099999998</v>
      </c>
      <c r="AB18" s="326">
        <v>1</v>
      </c>
      <c r="AC18" s="343">
        <v>9945950</v>
      </c>
      <c r="AD18" s="342">
        <v>9592939.1400000006</v>
      </c>
      <c r="AE18" s="326">
        <f t="shared" si="8"/>
        <v>0.96450707473896413</v>
      </c>
      <c r="AF18" s="343">
        <v>9129800</v>
      </c>
      <c r="AG18" s="342">
        <v>8846922.4700000007</v>
      </c>
      <c r="AH18" s="326">
        <f t="shared" si="12"/>
        <v>0.96901602116147134</v>
      </c>
      <c r="AI18" s="343">
        <v>9134100</v>
      </c>
      <c r="AJ18" s="342">
        <v>9244204.7100000009</v>
      </c>
      <c r="AK18" s="326">
        <v>1</v>
      </c>
      <c r="AL18" s="343">
        <v>10492200</v>
      </c>
      <c r="AM18" s="342">
        <v>10181982.859999999</v>
      </c>
      <c r="AN18" s="326">
        <f t="shared" ref="AN18" si="17">AM18/AL18</f>
        <v>0.97043354682526062</v>
      </c>
      <c r="AO18" s="329">
        <f t="shared" si="9"/>
        <v>89.755535318547345</v>
      </c>
      <c r="AP18" s="330">
        <f t="shared" si="10"/>
        <v>0.89755535318547341</v>
      </c>
      <c r="AQ18" s="334">
        <f t="shared" si="14"/>
        <v>4.4877767659273671</v>
      </c>
      <c r="AS18" s="332">
        <f t="shared" si="15"/>
        <v>113917200</v>
      </c>
      <c r="AT18" s="332">
        <f t="shared" si="11"/>
        <v>112249991.06000002</v>
      </c>
    </row>
    <row r="19" spans="1:46" ht="15.75" x14ac:dyDescent="0.25">
      <c r="A19" s="394" t="s">
        <v>58</v>
      </c>
      <c r="B19" s="395"/>
      <c r="C19" s="395"/>
      <c r="D19" s="396"/>
      <c r="E19" s="255">
        <f>E7+E8+E9+E10+E11+E12+E13+E14+E15+E16+E17+E18</f>
        <v>421846412.86000001</v>
      </c>
      <c r="F19" s="256">
        <f t="shared" ref="F19:AQ19" si="18">F7+F8+F9+F10+F11+F12+F13+F14+F15+F16+F17+F18</f>
        <v>106541984.183</v>
      </c>
      <c r="G19" s="257"/>
      <c r="H19" s="258">
        <f t="shared" si="18"/>
        <v>351597757.06999999</v>
      </c>
      <c r="I19" s="259">
        <f t="shared" si="18"/>
        <v>341318635.18000001</v>
      </c>
      <c r="J19" s="260"/>
      <c r="K19" s="258">
        <f t="shared" si="18"/>
        <v>415350703.37</v>
      </c>
      <c r="L19" s="259">
        <f t="shared" si="18"/>
        <v>479265248.41000003</v>
      </c>
      <c r="M19" s="260"/>
      <c r="N19" s="258">
        <f t="shared" si="18"/>
        <v>405748900.64999998</v>
      </c>
      <c r="O19" s="259">
        <f t="shared" si="18"/>
        <v>396880749.67999995</v>
      </c>
      <c r="P19" s="260"/>
      <c r="Q19" s="258">
        <f t="shared" si="18"/>
        <v>666594685.61000001</v>
      </c>
      <c r="R19" s="259">
        <f t="shared" si="18"/>
        <v>442319717.61000001</v>
      </c>
      <c r="S19" s="260"/>
      <c r="T19" s="258">
        <f t="shared" si="18"/>
        <v>332160419.40999997</v>
      </c>
      <c r="U19" s="259">
        <f t="shared" si="18"/>
        <v>426620072.75999999</v>
      </c>
      <c r="V19" s="260"/>
      <c r="W19" s="258">
        <f t="shared" si="18"/>
        <v>634616845.15999997</v>
      </c>
      <c r="X19" s="259">
        <f t="shared" si="18"/>
        <v>527716720.99999994</v>
      </c>
      <c r="Y19" s="260"/>
      <c r="Z19" s="258">
        <f t="shared" si="18"/>
        <v>393256091.96000004</v>
      </c>
      <c r="AA19" s="259">
        <f t="shared" si="18"/>
        <v>366072751.97999996</v>
      </c>
      <c r="AB19" s="260"/>
      <c r="AC19" s="258">
        <f t="shared" si="18"/>
        <v>426504078.66000003</v>
      </c>
      <c r="AD19" s="259">
        <f t="shared" si="18"/>
        <v>490475009.43999994</v>
      </c>
      <c r="AE19" s="260"/>
      <c r="AF19" s="258">
        <f t="shared" si="18"/>
        <v>421565294.71000004</v>
      </c>
      <c r="AG19" s="259">
        <f t="shared" si="18"/>
        <v>497541396.15000004</v>
      </c>
      <c r="AH19" s="260"/>
      <c r="AI19" s="258">
        <f t="shared" si="18"/>
        <v>373737560.60000002</v>
      </c>
      <c r="AJ19" s="259">
        <f t="shared" si="18"/>
        <v>427532730.96999997</v>
      </c>
      <c r="AK19" s="260"/>
      <c r="AL19" s="258">
        <f t="shared" si="18"/>
        <v>279282326.94</v>
      </c>
      <c r="AM19" s="381">
        <f t="shared" si="18"/>
        <v>566586968.82999992</v>
      </c>
      <c r="AN19" s="259"/>
      <c r="AO19" s="261"/>
      <c r="AP19" s="261">
        <f t="shared" si="18"/>
        <v>9.152826221764073</v>
      </c>
      <c r="AQ19" s="261">
        <f t="shared" si="18"/>
        <v>45.764131108820372</v>
      </c>
      <c r="AS19" s="332">
        <f>E19+H19+K19+N19+Q19+T19+W19+Z19+AC19+AF19+AI19+AL19</f>
        <v>5122261077</v>
      </c>
      <c r="AT19" s="332">
        <f t="shared" si="11"/>
        <v>5068871986.1929998</v>
      </c>
    </row>
    <row r="20" spans="1:46" ht="15.75" x14ac:dyDescent="0.25">
      <c r="A20" s="397" t="s">
        <v>184</v>
      </c>
      <c r="B20" s="398"/>
      <c r="C20" s="398"/>
      <c r="D20" s="399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344">
        <f>AP19/12</f>
        <v>0.76273551848033938</v>
      </c>
      <c r="AQ20" s="345">
        <f>AQ19/12</f>
        <v>3.8136775924016977</v>
      </c>
    </row>
    <row r="21" spans="1:46" ht="15.75" x14ac:dyDescent="0.25">
      <c r="A21" s="13"/>
      <c r="B21" s="13"/>
      <c r="C21" s="13"/>
      <c r="D21" s="13"/>
      <c r="E21" s="14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346"/>
      <c r="AP21" s="346"/>
      <c r="AQ21" s="346"/>
    </row>
    <row r="22" spans="1:46" ht="15.75" x14ac:dyDescent="0.25">
      <c r="A22" s="13"/>
      <c r="B22" s="13"/>
      <c r="C22" s="13"/>
      <c r="D22" s="13"/>
      <c r="E22" s="37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6" ht="15.75" x14ac:dyDescent="0.25">
      <c r="A23" s="416" t="s">
        <v>223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</row>
    <row r="24" spans="1:46" ht="15.75" x14ac:dyDescent="0.25">
      <c r="A24" s="417"/>
      <c r="B24" s="418"/>
      <c r="C24" s="41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</sheetData>
  <mergeCells count="26">
    <mergeCell ref="A2:AQ2"/>
    <mergeCell ref="E3:F3"/>
    <mergeCell ref="AQ4:AQ6"/>
    <mergeCell ref="A23:AQ23"/>
    <mergeCell ref="A24:C24"/>
    <mergeCell ref="D4:D6"/>
    <mergeCell ref="C4:C6"/>
    <mergeCell ref="B4:B6"/>
    <mergeCell ref="A4:A6"/>
    <mergeCell ref="E5:G5"/>
    <mergeCell ref="H5:J5"/>
    <mergeCell ref="K5:M5"/>
    <mergeCell ref="N5:P5"/>
    <mergeCell ref="Q5:S5"/>
    <mergeCell ref="T5:V5"/>
    <mergeCell ref="W5:Y5"/>
    <mergeCell ref="A19:D19"/>
    <mergeCell ref="A20:D20"/>
    <mergeCell ref="AP4:AP5"/>
    <mergeCell ref="E4:AM4"/>
    <mergeCell ref="Z5:AB5"/>
    <mergeCell ref="AC5:AE5"/>
    <mergeCell ref="AF5:AH5"/>
    <mergeCell ref="AI5:AK5"/>
    <mergeCell ref="AL5:AN5"/>
    <mergeCell ref="AO4:AO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2" manualBreakCount="2">
    <brk id="16" max="23" man="1"/>
    <brk id="28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24"/>
  <sheetViews>
    <sheetView view="pageBreakPreview" topLeftCell="A2" zoomScaleNormal="100" zoomScaleSheetLayoutView="100" workbookViewId="0">
      <selection activeCell="A24" sqref="A24:C24"/>
    </sheetView>
  </sheetViews>
  <sheetFormatPr defaultRowHeight="15" x14ac:dyDescent="0.25"/>
  <cols>
    <col min="1" max="1" width="4.28515625" customWidth="1"/>
    <col min="2" max="2" width="6.7109375" customWidth="1"/>
    <col min="3" max="3" width="13.28515625" customWidth="1"/>
    <col min="4" max="4" width="32.28515625" customWidth="1"/>
    <col min="5" max="5" width="17.5703125" customWidth="1"/>
    <col min="6" max="6" width="19.42578125" customWidth="1"/>
    <col min="7" max="7" width="16.42578125" customWidth="1"/>
    <col min="8" max="8" width="27.5703125" customWidth="1"/>
    <col min="9" max="9" width="14" customWidth="1"/>
    <col min="12" max="12" width="13.140625" customWidth="1"/>
  </cols>
  <sheetData>
    <row r="2" spans="1:12" x14ac:dyDescent="0.25">
      <c r="A2" s="385" t="s">
        <v>213</v>
      </c>
      <c r="B2" s="386"/>
      <c r="C2" s="386"/>
      <c r="D2" s="386"/>
      <c r="E2" s="386"/>
      <c r="F2" s="386"/>
      <c r="G2" s="386"/>
      <c r="H2" s="386"/>
      <c r="I2" s="386"/>
    </row>
    <row r="3" spans="1:12" ht="16.149999999999999" thickBot="1" x14ac:dyDescent="0.35">
      <c r="A3" s="22"/>
      <c r="B3" s="22"/>
      <c r="C3" s="22"/>
      <c r="D3" s="153"/>
      <c r="E3" s="387"/>
      <c r="F3" s="387"/>
      <c r="G3" s="15"/>
      <c r="H3" s="15"/>
      <c r="I3" s="15"/>
    </row>
    <row r="4" spans="1:12" ht="32.25" thickBot="1" x14ac:dyDescent="0.3">
      <c r="A4" s="156" t="s">
        <v>0</v>
      </c>
      <c r="B4" s="155" t="s">
        <v>107</v>
      </c>
      <c r="C4" s="155" t="s">
        <v>1</v>
      </c>
      <c r="D4" s="155" t="s">
        <v>2</v>
      </c>
      <c r="E4" s="420" t="s">
        <v>212</v>
      </c>
      <c r="F4" s="420"/>
      <c r="G4" s="157"/>
      <c r="H4" s="157"/>
      <c r="I4" s="428" t="s">
        <v>128</v>
      </c>
    </row>
    <row r="5" spans="1:12" ht="31.9" customHeight="1" thickBot="1" x14ac:dyDescent="0.3">
      <c r="A5" s="158"/>
      <c r="B5" s="159"/>
      <c r="C5" s="159"/>
      <c r="D5" s="159"/>
      <c r="E5" s="159" t="s">
        <v>93</v>
      </c>
      <c r="F5" s="160" t="s">
        <v>94</v>
      </c>
      <c r="G5" s="161" t="s">
        <v>79</v>
      </c>
      <c r="H5" s="162" t="s">
        <v>72</v>
      </c>
      <c r="I5" s="429"/>
    </row>
    <row r="6" spans="1:12" ht="51.75" customHeight="1" thickBot="1" x14ac:dyDescent="0.3">
      <c r="A6" s="163"/>
      <c r="B6" s="164"/>
      <c r="C6" s="164"/>
      <c r="D6" s="164"/>
      <c r="E6" s="164" t="s">
        <v>90</v>
      </c>
      <c r="F6" s="165" t="s">
        <v>91</v>
      </c>
      <c r="G6" s="267" t="s">
        <v>92</v>
      </c>
      <c r="H6" s="167" t="s">
        <v>197</v>
      </c>
      <c r="I6" s="430"/>
    </row>
    <row r="7" spans="1:12" ht="31.15" customHeight="1" thickBot="1" x14ac:dyDescent="0.3">
      <c r="A7" s="173" t="s">
        <v>8</v>
      </c>
      <c r="B7" s="174" t="s">
        <v>9</v>
      </c>
      <c r="C7" s="174" t="s">
        <v>10</v>
      </c>
      <c r="D7" s="179" t="s">
        <v>11</v>
      </c>
      <c r="E7" s="168">
        <v>5411500</v>
      </c>
      <c r="F7" s="227">
        <v>5411235.2400000002</v>
      </c>
      <c r="G7" s="368">
        <f>(E7-F7)/E7</f>
        <v>4.892543657022572E-5</v>
      </c>
      <c r="H7" s="505">
        <v>1</v>
      </c>
      <c r="I7" s="301">
        <f>H7*10</f>
        <v>10</v>
      </c>
      <c r="L7" s="4">
        <f>IF(G7&gt;=0.1,0,1-(K7/100))</f>
        <v>1</v>
      </c>
    </row>
    <row r="8" spans="1:12" ht="26.25" thickBot="1" x14ac:dyDescent="0.3">
      <c r="A8" s="175" t="s">
        <v>15</v>
      </c>
      <c r="B8" s="176" t="s">
        <v>12</v>
      </c>
      <c r="C8" s="176" t="s">
        <v>13</v>
      </c>
      <c r="D8" s="180" t="s">
        <v>14</v>
      </c>
      <c r="E8" s="168">
        <v>1830814677</v>
      </c>
      <c r="F8" s="265">
        <v>1806458754.6300001</v>
      </c>
      <c r="G8" s="368">
        <f t="shared" ref="G8:G18" si="0">(E8-F8)/E8</f>
        <v>1.3303324840015954E-2</v>
      </c>
      <c r="H8" s="505">
        <v>1</v>
      </c>
      <c r="I8" s="301">
        <f t="shared" ref="I8:I18" si="1">H8*10</f>
        <v>10</v>
      </c>
    </row>
    <row r="9" spans="1:12" ht="26.25" thickBot="1" x14ac:dyDescent="0.3">
      <c r="A9" s="175" t="s">
        <v>16</v>
      </c>
      <c r="B9" s="176" t="s">
        <v>22</v>
      </c>
      <c r="C9" s="176" t="s">
        <v>23</v>
      </c>
      <c r="D9" s="180" t="s">
        <v>24</v>
      </c>
      <c r="E9" s="168">
        <v>29175100</v>
      </c>
      <c r="F9" s="265">
        <v>29174680.050000001</v>
      </c>
      <c r="G9" s="368">
        <f t="shared" si="0"/>
        <v>1.4394123756191236E-5</v>
      </c>
      <c r="H9" s="505">
        <v>1</v>
      </c>
      <c r="I9" s="301">
        <f t="shared" si="1"/>
        <v>10</v>
      </c>
    </row>
    <row r="10" spans="1:12" ht="30" customHeight="1" thickBot="1" x14ac:dyDescent="0.3">
      <c r="A10" s="175" t="s">
        <v>17</v>
      </c>
      <c r="B10" s="176" t="s">
        <v>25</v>
      </c>
      <c r="C10" s="176" t="s">
        <v>26</v>
      </c>
      <c r="D10" s="180" t="s">
        <v>27</v>
      </c>
      <c r="E10" s="168">
        <v>4674800</v>
      </c>
      <c r="F10" s="265">
        <v>4674660.6399999997</v>
      </c>
      <c r="G10" s="368">
        <f t="shared" si="0"/>
        <v>2.9810901001184066E-5</v>
      </c>
      <c r="H10" s="505">
        <v>1</v>
      </c>
      <c r="I10" s="301">
        <f t="shared" si="1"/>
        <v>10</v>
      </c>
    </row>
    <row r="11" spans="1:12" ht="40.15" customHeight="1" thickBot="1" x14ac:dyDescent="0.3">
      <c r="A11" s="175" t="s">
        <v>18</v>
      </c>
      <c r="B11" s="176" t="s">
        <v>28</v>
      </c>
      <c r="C11" s="176" t="s">
        <v>29</v>
      </c>
      <c r="D11" s="180" t="s">
        <v>30</v>
      </c>
      <c r="E11" s="168">
        <v>7755700</v>
      </c>
      <c r="F11" s="265">
        <v>7741699.7599999998</v>
      </c>
      <c r="G11" s="368">
        <f t="shared" si="0"/>
        <v>1.8051549183181691E-3</v>
      </c>
      <c r="H11" s="505">
        <v>1</v>
      </c>
      <c r="I11" s="301">
        <f t="shared" si="1"/>
        <v>10</v>
      </c>
    </row>
    <row r="12" spans="1:12" ht="28.15" customHeight="1" thickBot="1" x14ac:dyDescent="0.3">
      <c r="A12" s="175" t="s">
        <v>19</v>
      </c>
      <c r="B12" s="176" t="s">
        <v>31</v>
      </c>
      <c r="C12" s="176" t="s">
        <v>32</v>
      </c>
      <c r="D12" s="180" t="s">
        <v>33</v>
      </c>
      <c r="E12" s="168">
        <v>5824800</v>
      </c>
      <c r="F12" s="265">
        <v>5824712.6799999997</v>
      </c>
      <c r="G12" s="368">
        <f t="shared" si="0"/>
        <v>1.4991072654906267E-5</v>
      </c>
      <c r="H12" s="505">
        <v>1</v>
      </c>
      <c r="I12" s="301">
        <f t="shared" si="1"/>
        <v>10</v>
      </c>
    </row>
    <row r="13" spans="1:12" ht="16.5" thickBot="1" x14ac:dyDescent="0.3">
      <c r="A13" s="175" t="s">
        <v>20</v>
      </c>
      <c r="B13" s="176" t="s">
        <v>34</v>
      </c>
      <c r="C13" s="176" t="s">
        <v>35</v>
      </c>
      <c r="D13" s="180" t="s">
        <v>36</v>
      </c>
      <c r="E13" s="168">
        <v>218920700</v>
      </c>
      <c r="F13" s="265">
        <v>213918226.53999999</v>
      </c>
      <c r="G13" s="368">
        <f t="shared" si="0"/>
        <v>2.2850618785706461E-2</v>
      </c>
      <c r="H13" s="505">
        <v>1</v>
      </c>
      <c r="I13" s="301">
        <f t="shared" si="1"/>
        <v>10</v>
      </c>
    </row>
    <row r="14" spans="1:12" ht="16.899999999999999" customHeight="1" thickBot="1" x14ac:dyDescent="0.3">
      <c r="A14" s="175" t="s">
        <v>21</v>
      </c>
      <c r="B14" s="176" t="s">
        <v>40</v>
      </c>
      <c r="C14" s="176" t="s">
        <v>38</v>
      </c>
      <c r="D14" s="180" t="s">
        <v>39</v>
      </c>
      <c r="E14" s="168">
        <v>2631316800</v>
      </c>
      <c r="F14" s="265">
        <v>2609240143.5599999</v>
      </c>
      <c r="G14" s="368">
        <f t="shared" si="0"/>
        <v>8.3899652219755743E-3</v>
      </c>
      <c r="H14" s="505">
        <v>1</v>
      </c>
      <c r="I14" s="301">
        <f t="shared" si="1"/>
        <v>10</v>
      </c>
    </row>
    <row r="15" spans="1:12" ht="16.5" thickBot="1" x14ac:dyDescent="0.3">
      <c r="A15" s="177">
        <v>9</v>
      </c>
      <c r="B15" s="176" t="s">
        <v>41</v>
      </c>
      <c r="C15" s="176" t="s">
        <v>42</v>
      </c>
      <c r="D15" s="180" t="s">
        <v>43</v>
      </c>
      <c r="E15" s="168">
        <v>145203500</v>
      </c>
      <c r="F15" s="265">
        <v>145143343.66999999</v>
      </c>
      <c r="G15" s="368">
        <f t="shared" si="0"/>
        <v>4.1428980706396961E-4</v>
      </c>
      <c r="H15" s="505">
        <f t="shared" ref="H15" si="2">IF(G15&gt;10,0,(1-G15/100))</f>
        <v>0.9999958571019294</v>
      </c>
      <c r="I15" s="301">
        <f t="shared" si="1"/>
        <v>9.9999585710192935</v>
      </c>
    </row>
    <row r="16" spans="1:12" ht="26.25" thickBot="1" x14ac:dyDescent="0.3">
      <c r="A16" s="177">
        <v>10</v>
      </c>
      <c r="B16" s="176" t="s">
        <v>44</v>
      </c>
      <c r="C16" s="176" t="s">
        <v>45</v>
      </c>
      <c r="D16" s="180" t="s">
        <v>46</v>
      </c>
      <c r="E16" s="168">
        <v>110966500</v>
      </c>
      <c r="F16" s="265">
        <v>110755545.77</v>
      </c>
      <c r="G16" s="368">
        <f t="shared" si="0"/>
        <v>1.9010623025868542E-3</v>
      </c>
      <c r="H16" s="505">
        <v>1</v>
      </c>
      <c r="I16" s="301">
        <f t="shared" si="1"/>
        <v>10</v>
      </c>
    </row>
    <row r="17" spans="1:9" ht="18" customHeight="1" thickBot="1" x14ac:dyDescent="0.3">
      <c r="A17" s="177">
        <v>11</v>
      </c>
      <c r="B17" s="176" t="s">
        <v>47</v>
      </c>
      <c r="C17" s="176" t="s">
        <v>48</v>
      </c>
      <c r="D17" s="180" t="s">
        <v>49</v>
      </c>
      <c r="E17" s="168">
        <v>18279800</v>
      </c>
      <c r="F17" s="265">
        <v>18278992.59</v>
      </c>
      <c r="G17" s="368">
        <f t="shared" si="0"/>
        <v>4.4169520454280079E-5</v>
      </c>
      <c r="H17" s="505">
        <v>1</v>
      </c>
      <c r="I17" s="301">
        <f t="shared" si="1"/>
        <v>10</v>
      </c>
    </row>
    <row r="18" spans="1:9" ht="32.450000000000003" customHeight="1" x14ac:dyDescent="0.25">
      <c r="A18" s="175" t="s">
        <v>37</v>
      </c>
      <c r="B18" s="176" t="s">
        <v>50</v>
      </c>
      <c r="C18" s="176" t="s">
        <v>51</v>
      </c>
      <c r="D18" s="180" t="s">
        <v>52</v>
      </c>
      <c r="E18" s="168">
        <v>113917200</v>
      </c>
      <c r="F18" s="266">
        <v>112249991.06</v>
      </c>
      <c r="G18" s="368">
        <f t="shared" si="0"/>
        <v>1.4635269651992831E-2</v>
      </c>
      <c r="H18" s="508">
        <v>1</v>
      </c>
      <c r="I18" s="301">
        <f t="shared" si="1"/>
        <v>10</v>
      </c>
    </row>
    <row r="19" spans="1:9" ht="15.75" x14ac:dyDescent="0.25">
      <c r="A19" s="431" t="s">
        <v>58</v>
      </c>
      <c r="B19" s="432"/>
      <c r="C19" s="432"/>
      <c r="D19" s="433"/>
      <c r="E19" s="262">
        <f>E7+E8+E9+E10+E11+E12+E13+E14+E15+E16+E17+E18</f>
        <v>5122261077</v>
      </c>
      <c r="F19" s="263">
        <f>F7+F8+F9+F10+F11+F12+F13+F14+F15+F16+F17+F18</f>
        <v>5068871986.1900015</v>
      </c>
      <c r="G19" s="509">
        <f t="shared" ref="G19:H19" si="3">G7+G8+G9+G10+G11+G12+G13+G14+G15+G16+G17+G18</f>
        <v>6.34519765820966E-2</v>
      </c>
      <c r="H19" s="509">
        <f t="shared" si="3"/>
        <v>11.999995857101929</v>
      </c>
      <c r="I19" s="509">
        <f>I7+I8+I9+I10+I11+I12+I13+I14+I15+I16+I17+I18</f>
        <v>119.99995857101929</v>
      </c>
    </row>
    <row r="20" spans="1:9" ht="15.75" x14ac:dyDescent="0.25">
      <c r="A20" s="397" t="s">
        <v>184</v>
      </c>
      <c r="B20" s="398"/>
      <c r="C20" s="398"/>
      <c r="D20" s="399"/>
      <c r="E20" s="253"/>
      <c r="F20" s="254"/>
      <c r="G20" s="510">
        <f>G19/12</f>
        <v>5.2876647151747164E-3</v>
      </c>
      <c r="H20" s="510">
        <f t="shared" ref="H20:I20" si="4">H19/12</f>
        <v>0.99999965475849406</v>
      </c>
      <c r="I20" s="510">
        <f t="shared" si="4"/>
        <v>9.9999965475849404</v>
      </c>
    </row>
    <row r="21" spans="1:9" ht="15.75" x14ac:dyDescent="0.25">
      <c r="A21" s="13"/>
      <c r="B21" s="13"/>
      <c r="C21" s="13"/>
      <c r="D21" s="13"/>
      <c r="E21" s="14"/>
      <c r="F21" s="15"/>
      <c r="G21" s="16"/>
      <c r="H21" s="16"/>
      <c r="I21" s="16"/>
    </row>
    <row r="22" spans="1:9" ht="15.75" x14ac:dyDescent="0.25">
      <c r="A22" s="13"/>
      <c r="B22" s="13"/>
      <c r="C22" s="13"/>
      <c r="D22" s="13"/>
      <c r="E22" s="37"/>
      <c r="F22" s="15"/>
      <c r="G22" s="15"/>
      <c r="H22" s="15"/>
      <c r="I22" s="15"/>
    </row>
    <row r="23" spans="1:9" ht="15.75" x14ac:dyDescent="0.25">
      <c r="A23" s="391" t="s">
        <v>222</v>
      </c>
      <c r="B23" s="391"/>
      <c r="C23" s="391"/>
      <c r="D23" s="391"/>
      <c r="E23" s="391"/>
      <c r="F23" s="391"/>
      <c r="G23" s="391"/>
      <c r="H23" s="391"/>
      <c r="I23" s="391"/>
    </row>
    <row r="24" spans="1:9" ht="15.75" x14ac:dyDescent="0.25">
      <c r="A24" s="382"/>
      <c r="B24" s="383"/>
      <c r="C24" s="384"/>
      <c r="D24" s="15"/>
      <c r="E24" s="15"/>
      <c r="F24" s="15"/>
      <c r="G24" s="15"/>
      <c r="H24" s="15"/>
      <c r="I24" s="15"/>
    </row>
  </sheetData>
  <mergeCells count="8">
    <mergeCell ref="A24:C24"/>
    <mergeCell ref="A2:I2"/>
    <mergeCell ref="E3:F3"/>
    <mergeCell ref="I4:I6"/>
    <mergeCell ref="E4:F4"/>
    <mergeCell ref="A23:I23"/>
    <mergeCell ref="A19:D19"/>
    <mergeCell ref="A20:D20"/>
  </mergeCells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Q33"/>
  <sheetViews>
    <sheetView zoomScale="82" zoomScaleNormal="82" workbookViewId="0">
      <selection activeCell="E3" sqref="E3:F3"/>
    </sheetView>
  </sheetViews>
  <sheetFormatPr defaultColWidth="9.140625" defaultRowHeight="15.75" x14ac:dyDescent="0.25"/>
  <cols>
    <col min="1" max="1" width="6.28515625" style="15" customWidth="1"/>
    <col min="2" max="2" width="7" style="15" customWidth="1"/>
    <col min="3" max="3" width="13.42578125" style="15" customWidth="1"/>
    <col min="4" max="4" width="54" style="15" customWidth="1"/>
    <col min="5" max="6" width="18.140625" style="15" customWidth="1"/>
    <col min="7" max="7" width="14.7109375" style="15" customWidth="1"/>
    <col min="8" max="8" width="20" style="15" customWidth="1"/>
    <col min="9" max="9" width="12.5703125" style="15" customWidth="1"/>
    <col min="10" max="16384" width="9.140625" style="15"/>
  </cols>
  <sheetData>
    <row r="1" spans="1:173" x14ac:dyDescent="0.25">
      <c r="A1" s="434" t="s">
        <v>82</v>
      </c>
      <c r="B1" s="435"/>
      <c r="C1" s="435"/>
      <c r="D1" s="435"/>
      <c r="E1" s="435"/>
      <c r="F1" s="435"/>
      <c r="G1" s="435"/>
      <c r="H1" s="435"/>
      <c r="I1" s="435"/>
    </row>
    <row r="2" spans="1:173" ht="16.5" thickBot="1" x14ac:dyDescent="0.3">
      <c r="D2" s="129" t="s">
        <v>75</v>
      </c>
      <c r="E2" s="436" t="s">
        <v>206</v>
      </c>
      <c r="F2" s="436"/>
    </row>
    <row r="3" spans="1:173" ht="34.5" customHeight="1" thickBot="1" x14ac:dyDescent="0.3">
      <c r="A3" s="69" t="s">
        <v>0</v>
      </c>
      <c r="B3" s="49"/>
      <c r="C3" s="50" t="s">
        <v>1</v>
      </c>
      <c r="D3" s="50" t="s">
        <v>2</v>
      </c>
      <c r="E3" s="437" t="s">
        <v>74</v>
      </c>
      <c r="F3" s="437"/>
      <c r="G3" s="83"/>
      <c r="H3" s="440" t="s">
        <v>73</v>
      </c>
      <c r="I3" s="438" t="s">
        <v>57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</row>
    <row r="4" spans="1:173" ht="61.5" customHeight="1" thickBot="1" x14ac:dyDescent="0.3">
      <c r="A4" s="47"/>
      <c r="B4" s="84"/>
      <c r="C4" s="84"/>
      <c r="D4" s="84"/>
      <c r="E4" s="51" t="s">
        <v>80</v>
      </c>
      <c r="F4" s="51" t="s">
        <v>81</v>
      </c>
      <c r="G4" s="68" t="s">
        <v>79</v>
      </c>
      <c r="H4" s="439"/>
      <c r="I4" s="439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</row>
    <row r="5" spans="1:173" ht="30" customHeight="1" thickBot="1" x14ac:dyDescent="0.3">
      <c r="A5" s="88"/>
      <c r="B5" s="11"/>
      <c r="C5" s="11"/>
      <c r="D5" s="11"/>
      <c r="E5" s="11" t="s">
        <v>76</v>
      </c>
      <c r="F5" s="12" t="s">
        <v>77</v>
      </c>
      <c r="G5" s="41" t="s">
        <v>78</v>
      </c>
      <c r="H5" s="89" t="s">
        <v>88</v>
      </c>
      <c r="I5" s="439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</row>
    <row r="6" spans="1:173" x14ac:dyDescent="0.25">
      <c r="A6" s="53" t="s">
        <v>8</v>
      </c>
      <c r="B6" s="85" t="s">
        <v>9</v>
      </c>
      <c r="C6" s="86" t="s">
        <v>10</v>
      </c>
      <c r="D6" s="87" t="s">
        <v>11</v>
      </c>
      <c r="E6" s="132">
        <v>76007.7</v>
      </c>
      <c r="F6" s="131">
        <v>76100</v>
      </c>
      <c r="G6" s="372">
        <f>1-(E6/F6)</f>
        <v>1.2128777923784417E-3</v>
      </c>
      <c r="H6" s="138">
        <v>1</v>
      </c>
      <c r="I6" s="100">
        <f>H6*5</f>
        <v>5</v>
      </c>
    </row>
    <row r="7" spans="1:173" ht="18.75" customHeight="1" x14ac:dyDescent="0.25">
      <c r="A7" s="56" t="s">
        <v>15</v>
      </c>
      <c r="B7" s="57" t="s">
        <v>12</v>
      </c>
      <c r="C7" s="58" t="s">
        <v>13</v>
      </c>
      <c r="D7" s="59" t="s">
        <v>14</v>
      </c>
      <c r="E7" s="134">
        <v>795959198.84000003</v>
      </c>
      <c r="F7" s="133">
        <v>815088377</v>
      </c>
      <c r="G7" s="372">
        <f t="shared" ref="G7:G17" si="0">1-(E7/F7)</f>
        <v>2.3468839330535562E-2</v>
      </c>
      <c r="H7" s="139">
        <v>1</v>
      </c>
      <c r="I7" s="101">
        <f>H7*5</f>
        <v>5</v>
      </c>
    </row>
    <row r="8" spans="1:173" x14ac:dyDescent="0.25">
      <c r="A8" s="56" t="s">
        <v>16</v>
      </c>
      <c r="B8" s="57" t="s">
        <v>22</v>
      </c>
      <c r="C8" s="58" t="s">
        <v>23</v>
      </c>
      <c r="D8" s="59" t="s">
        <v>24</v>
      </c>
      <c r="E8" s="134">
        <v>3358977.19</v>
      </c>
      <c r="F8" s="133">
        <v>3359300</v>
      </c>
      <c r="G8" s="372">
        <f t="shared" si="0"/>
        <v>9.609442443370142E-5</v>
      </c>
      <c r="H8" s="139">
        <v>1</v>
      </c>
      <c r="I8" s="101">
        <f t="shared" ref="I8:I17" si="1">H8*5</f>
        <v>5</v>
      </c>
    </row>
    <row r="9" spans="1:173" ht="31.5" x14ac:dyDescent="0.25">
      <c r="A9" s="56" t="s">
        <v>17</v>
      </c>
      <c r="B9" s="57" t="s">
        <v>25</v>
      </c>
      <c r="C9" s="58" t="s">
        <v>26</v>
      </c>
      <c r="D9" s="59" t="s">
        <v>27</v>
      </c>
      <c r="E9" s="134">
        <v>120480</v>
      </c>
      <c r="F9" s="133">
        <v>120600</v>
      </c>
      <c r="G9" s="372">
        <f t="shared" si="0"/>
        <v>9.9502487562186381E-4</v>
      </c>
      <c r="H9" s="139">
        <v>1</v>
      </c>
      <c r="I9" s="101">
        <f t="shared" si="1"/>
        <v>5</v>
      </c>
    </row>
    <row r="10" spans="1:173" ht="31.5" x14ac:dyDescent="0.25">
      <c r="A10" s="56" t="s">
        <v>18</v>
      </c>
      <c r="B10" s="57" t="s">
        <v>28</v>
      </c>
      <c r="C10" s="58" t="s">
        <v>29</v>
      </c>
      <c r="D10" s="59" t="s">
        <v>30</v>
      </c>
      <c r="E10" s="134">
        <v>1141700.76</v>
      </c>
      <c r="F10" s="133">
        <v>1141900</v>
      </c>
      <c r="G10" s="372">
        <f t="shared" si="0"/>
        <v>1.7448112794460346E-4</v>
      </c>
      <c r="H10" s="139">
        <v>1</v>
      </c>
      <c r="I10" s="101">
        <f t="shared" si="1"/>
        <v>5</v>
      </c>
    </row>
    <row r="11" spans="1:173" ht="19.5" customHeight="1" x14ac:dyDescent="0.25">
      <c r="A11" s="56" t="s">
        <v>19</v>
      </c>
      <c r="B11" s="57" t="s">
        <v>31</v>
      </c>
      <c r="C11" s="58" t="s">
        <v>32</v>
      </c>
      <c r="D11" s="59" t="s">
        <v>33</v>
      </c>
      <c r="E11" s="134">
        <v>39440</v>
      </c>
      <c r="F11" s="133">
        <v>39500</v>
      </c>
      <c r="G11" s="372">
        <f t="shared" si="0"/>
        <v>1.5189873417721378E-3</v>
      </c>
      <c r="H11" s="139">
        <v>1</v>
      </c>
      <c r="I11" s="101">
        <f t="shared" si="1"/>
        <v>5</v>
      </c>
    </row>
    <row r="12" spans="1:173" x14ac:dyDescent="0.25">
      <c r="A12" s="56" t="s">
        <v>20</v>
      </c>
      <c r="B12" s="57" t="s">
        <v>34</v>
      </c>
      <c r="C12" s="58" t="s">
        <v>35</v>
      </c>
      <c r="D12" s="59" t="s">
        <v>36</v>
      </c>
      <c r="E12" s="134">
        <v>200281884.90000001</v>
      </c>
      <c r="F12" s="133">
        <v>200538500</v>
      </c>
      <c r="G12" s="372">
        <f t="shared" si="0"/>
        <v>1.2796300959665441E-3</v>
      </c>
      <c r="H12" s="139">
        <v>1</v>
      </c>
      <c r="I12" s="101">
        <f t="shared" si="1"/>
        <v>5</v>
      </c>
    </row>
    <row r="13" spans="1:173" x14ac:dyDescent="0.25">
      <c r="A13" s="56" t="s">
        <v>21</v>
      </c>
      <c r="B13" s="57" t="s">
        <v>40</v>
      </c>
      <c r="C13" s="58" t="s">
        <v>38</v>
      </c>
      <c r="D13" s="59" t="s">
        <v>39</v>
      </c>
      <c r="E13" s="133">
        <v>30597494.649999999</v>
      </c>
      <c r="F13" s="135">
        <v>31418300</v>
      </c>
      <c r="G13" s="372">
        <f t="shared" si="0"/>
        <v>2.6125072012171291E-2</v>
      </c>
      <c r="H13" s="139">
        <v>1</v>
      </c>
      <c r="I13" s="101">
        <f t="shared" si="1"/>
        <v>5</v>
      </c>
    </row>
    <row r="14" spans="1:173" x14ac:dyDescent="0.25">
      <c r="A14" s="60">
        <v>9</v>
      </c>
      <c r="B14" s="57" t="s">
        <v>41</v>
      </c>
      <c r="C14" s="58" t="s">
        <v>42</v>
      </c>
      <c r="D14" s="59" t="s">
        <v>43</v>
      </c>
      <c r="E14" s="133">
        <v>1846799.99</v>
      </c>
      <c r="F14" s="135">
        <v>1846800</v>
      </c>
      <c r="G14" s="372">
        <f t="shared" si="0"/>
        <v>5.4147715200514313E-9</v>
      </c>
      <c r="H14" s="139">
        <v>1</v>
      </c>
      <c r="I14" s="101">
        <f t="shared" si="1"/>
        <v>5</v>
      </c>
    </row>
    <row r="15" spans="1:173" x14ac:dyDescent="0.25">
      <c r="A15" s="60">
        <v>10</v>
      </c>
      <c r="B15" s="57" t="s">
        <v>44</v>
      </c>
      <c r="C15" s="58" t="s">
        <v>45</v>
      </c>
      <c r="D15" s="59" t="s">
        <v>46</v>
      </c>
      <c r="E15" s="133">
        <v>1974525.04</v>
      </c>
      <c r="F15" s="135">
        <v>1974600</v>
      </c>
      <c r="G15" s="372">
        <f t="shared" si="0"/>
        <v>3.796211891016199E-5</v>
      </c>
      <c r="H15" s="139">
        <v>1</v>
      </c>
      <c r="I15" s="101">
        <f t="shared" si="1"/>
        <v>5</v>
      </c>
    </row>
    <row r="16" spans="1:173" x14ac:dyDescent="0.25">
      <c r="A16" s="60">
        <v>11</v>
      </c>
      <c r="B16" s="57" t="s">
        <v>47</v>
      </c>
      <c r="C16" s="58" t="s">
        <v>48</v>
      </c>
      <c r="D16" s="59" t="s">
        <v>49</v>
      </c>
      <c r="E16" s="133">
        <v>3546511.88</v>
      </c>
      <c r="F16" s="135">
        <v>3547000</v>
      </c>
      <c r="G16" s="372">
        <f t="shared" si="0"/>
        <v>1.3761488581898185E-4</v>
      </c>
      <c r="H16" s="139">
        <v>1</v>
      </c>
      <c r="I16" s="101">
        <f t="shared" si="1"/>
        <v>5</v>
      </c>
    </row>
    <row r="17" spans="1:9" ht="34.5" customHeight="1" thickBot="1" x14ac:dyDescent="0.3">
      <c r="A17" s="90" t="s">
        <v>37</v>
      </c>
      <c r="B17" s="91" t="s">
        <v>50</v>
      </c>
      <c r="C17" s="92" t="s">
        <v>51</v>
      </c>
      <c r="D17" s="93" t="s">
        <v>52</v>
      </c>
      <c r="E17" s="357">
        <v>1425884.88</v>
      </c>
      <c r="F17" s="136">
        <v>1426000</v>
      </c>
      <c r="G17" s="372">
        <f t="shared" si="0"/>
        <v>8.0729312763039296E-5</v>
      </c>
      <c r="H17" s="140">
        <v>1</v>
      </c>
      <c r="I17" s="101">
        <f t="shared" si="1"/>
        <v>5</v>
      </c>
    </row>
    <row r="18" spans="1:9" ht="16.5" thickBot="1" x14ac:dyDescent="0.3">
      <c r="A18" s="94" t="s">
        <v>37</v>
      </c>
      <c r="B18" s="95"/>
      <c r="C18" s="96"/>
      <c r="D18" s="97" t="s">
        <v>58</v>
      </c>
      <c r="E18" s="137">
        <f>SUM(E6:E17)</f>
        <v>1040368905.83</v>
      </c>
      <c r="F18" s="137">
        <f>SUM(F6:F17)</f>
        <v>1060576977</v>
      </c>
      <c r="G18" s="373">
        <f>SUM(G6:G17)</f>
        <v>5.5127318733087849E-2</v>
      </c>
      <c r="H18" s="98"/>
      <c r="I18" s="239">
        <f>SUM(I6:I17)/12</f>
        <v>5</v>
      </c>
    </row>
    <row r="19" spans="1:9" ht="15.6" x14ac:dyDescent="0.3">
      <c r="G19" s="374"/>
      <c r="H19" s="80"/>
    </row>
    <row r="20" spans="1:9" x14ac:dyDescent="0.25">
      <c r="D20" s="15" t="s">
        <v>55</v>
      </c>
      <c r="G20" s="375">
        <f>G18/A18</f>
        <v>4.5939432277573205E-3</v>
      </c>
      <c r="I20" s="252"/>
    </row>
    <row r="21" spans="1:9" x14ac:dyDescent="0.25">
      <c r="E21" s="65"/>
    </row>
    <row r="23" spans="1:9" x14ac:dyDescent="0.25">
      <c r="A23" s="391" t="s">
        <v>89</v>
      </c>
      <c r="B23" s="391"/>
      <c r="C23" s="391"/>
      <c r="D23" s="391"/>
      <c r="E23" s="391"/>
      <c r="F23" s="391"/>
      <c r="G23" s="391"/>
      <c r="H23" s="391"/>
      <c r="I23" s="391"/>
    </row>
    <row r="24" spans="1:9" x14ac:dyDescent="0.25">
      <c r="A24" s="382"/>
      <c r="B24" s="383"/>
      <c r="C24" s="384"/>
    </row>
    <row r="31" spans="1:9" x14ac:dyDescent="0.25">
      <c r="E31" s="66"/>
    </row>
    <row r="33" spans="1:4" x14ac:dyDescent="0.25">
      <c r="A33" s="67"/>
      <c r="B33" s="67"/>
      <c r="D33" s="48"/>
    </row>
  </sheetData>
  <mergeCells count="7">
    <mergeCell ref="A23:I23"/>
    <mergeCell ref="A24:C24"/>
    <mergeCell ref="A1:I1"/>
    <mergeCell ref="E2:F2"/>
    <mergeCell ref="E3:F3"/>
    <mergeCell ref="I3:I5"/>
    <mergeCell ref="H3:H4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Q32"/>
  <sheetViews>
    <sheetView view="pageBreakPreview" zoomScale="82" zoomScaleNormal="110" zoomScaleSheetLayoutView="82" workbookViewId="0">
      <selection activeCell="U9" sqref="U9"/>
    </sheetView>
  </sheetViews>
  <sheetFormatPr defaultColWidth="9.140625" defaultRowHeight="15.75" x14ac:dyDescent="0.25"/>
  <cols>
    <col min="1" max="1" width="6.28515625" style="15" customWidth="1"/>
    <col min="2" max="2" width="7" style="15" customWidth="1"/>
    <col min="3" max="3" width="15.7109375" style="15" customWidth="1"/>
    <col min="4" max="4" width="55.85546875" style="15" customWidth="1"/>
    <col min="5" max="5" width="11.7109375" style="15" customWidth="1"/>
    <col min="6" max="6" width="11.85546875" style="15" customWidth="1"/>
    <col min="7" max="7" width="16" style="15" customWidth="1"/>
    <col min="8" max="8" width="14.140625" style="15" customWidth="1"/>
    <col min="9" max="9" width="12.5703125" style="15" customWidth="1"/>
    <col min="10" max="16384" width="9.140625" style="15"/>
  </cols>
  <sheetData>
    <row r="1" spans="1:173" ht="43.9" customHeight="1" x14ac:dyDescent="0.25">
      <c r="A1" s="443" t="s">
        <v>210</v>
      </c>
      <c r="B1" s="443"/>
      <c r="C1" s="443"/>
      <c r="D1" s="443"/>
      <c r="E1" s="443"/>
      <c r="F1" s="443"/>
      <c r="G1" s="443"/>
      <c r="H1" s="443"/>
      <c r="I1" s="443"/>
    </row>
    <row r="2" spans="1:173" x14ac:dyDescent="0.25">
      <c r="D2" s="129"/>
      <c r="E2" s="444"/>
      <c r="F2" s="444"/>
    </row>
    <row r="3" spans="1:173" ht="15.75" customHeight="1" x14ac:dyDescent="0.25">
      <c r="A3" s="274" t="s">
        <v>0</v>
      </c>
      <c r="B3" s="274"/>
      <c r="C3" s="274" t="s">
        <v>1</v>
      </c>
      <c r="D3" s="274" t="s">
        <v>2</v>
      </c>
      <c r="E3" s="445" t="s">
        <v>53</v>
      </c>
      <c r="F3" s="445"/>
      <c r="G3" s="274"/>
      <c r="H3" s="445" t="s">
        <v>87</v>
      </c>
      <c r="I3" s="445" t="s">
        <v>57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</row>
    <row r="4" spans="1:173" ht="32.25" customHeight="1" x14ac:dyDescent="0.25">
      <c r="A4" s="274"/>
      <c r="B4" s="274"/>
      <c r="C4" s="274"/>
      <c r="D4" s="274"/>
      <c r="E4" s="274" t="s">
        <v>4</v>
      </c>
      <c r="F4" s="274" t="s">
        <v>5</v>
      </c>
      <c r="G4" s="274" t="s">
        <v>79</v>
      </c>
      <c r="H4" s="446"/>
      <c r="I4" s="446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</row>
    <row r="5" spans="1:173" ht="36.75" customHeight="1" thickBot="1" x14ac:dyDescent="0.3">
      <c r="A5" s="72"/>
      <c r="B5" s="72"/>
      <c r="C5" s="72"/>
      <c r="D5" s="72"/>
      <c r="E5" s="274" t="s">
        <v>6</v>
      </c>
      <c r="F5" s="274" t="s">
        <v>7</v>
      </c>
      <c r="G5" s="274" t="s">
        <v>56</v>
      </c>
      <c r="H5" s="446"/>
      <c r="I5" s="446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</row>
    <row r="6" spans="1:173" x14ac:dyDescent="0.25">
      <c r="A6" s="58" t="s">
        <v>8</v>
      </c>
      <c r="B6" s="58" t="s">
        <v>9</v>
      </c>
      <c r="C6" s="58" t="s">
        <v>10</v>
      </c>
      <c r="D6" s="59" t="s">
        <v>11</v>
      </c>
      <c r="E6" s="300">
        <v>299</v>
      </c>
      <c r="F6" s="8">
        <v>0</v>
      </c>
      <c r="G6" s="376">
        <f>F6/E6*100</f>
        <v>0</v>
      </c>
      <c r="H6" s="170">
        <f>IF(G6&gt;10,0,1-(G6/100))</f>
        <v>1</v>
      </c>
      <c r="I6" s="301">
        <f>H6*5</f>
        <v>5</v>
      </c>
    </row>
    <row r="7" spans="1:173" ht="18.75" customHeight="1" x14ac:dyDescent="0.25">
      <c r="A7" s="58" t="s">
        <v>15</v>
      </c>
      <c r="B7" s="58" t="s">
        <v>12</v>
      </c>
      <c r="C7" s="58" t="s">
        <v>13</v>
      </c>
      <c r="D7" s="59" t="s">
        <v>14</v>
      </c>
      <c r="E7" s="302">
        <v>5828</v>
      </c>
      <c r="F7" s="7">
        <v>45</v>
      </c>
      <c r="G7" s="377">
        <f>F7/E7*100</f>
        <v>0.77213452299245022</v>
      </c>
      <c r="H7" s="141">
        <f>IF(G7&gt;10,0,1-(G7/100))</f>
        <v>0.99227865477007549</v>
      </c>
      <c r="I7" s="303">
        <f>H7*5</f>
        <v>4.9613932738503772</v>
      </c>
    </row>
    <row r="8" spans="1:173" x14ac:dyDescent="0.25">
      <c r="A8" s="58" t="s">
        <v>16</v>
      </c>
      <c r="B8" s="58" t="s">
        <v>22</v>
      </c>
      <c r="C8" s="58" t="s">
        <v>23</v>
      </c>
      <c r="D8" s="59" t="s">
        <v>24</v>
      </c>
      <c r="E8" s="302">
        <v>336</v>
      </c>
      <c r="F8" s="7">
        <v>1</v>
      </c>
      <c r="G8" s="377">
        <f t="shared" ref="G8:G17" si="0">F8/E8*100</f>
        <v>0.29761904761904762</v>
      </c>
      <c r="H8" s="141">
        <f t="shared" ref="H8:H17" si="1">IF(G8&gt;10,0,1-(G8/100))</f>
        <v>0.99702380952380953</v>
      </c>
      <c r="I8" s="303">
        <f t="shared" ref="I8:I17" si="2">H8*5</f>
        <v>4.9851190476190474</v>
      </c>
    </row>
    <row r="9" spans="1:173" ht="31.5" x14ac:dyDescent="0.25">
      <c r="A9" s="58" t="s">
        <v>17</v>
      </c>
      <c r="B9" s="58" t="s">
        <v>25</v>
      </c>
      <c r="C9" s="58" t="s">
        <v>26</v>
      </c>
      <c r="D9" s="59" t="s">
        <v>27</v>
      </c>
      <c r="E9" s="302">
        <v>286</v>
      </c>
      <c r="F9" s="7">
        <v>0</v>
      </c>
      <c r="G9" s="377">
        <f t="shared" si="0"/>
        <v>0</v>
      </c>
      <c r="H9" s="141">
        <f t="shared" si="1"/>
        <v>1</v>
      </c>
      <c r="I9" s="303">
        <f t="shared" si="2"/>
        <v>5</v>
      </c>
    </row>
    <row r="10" spans="1:173" ht="31.5" x14ac:dyDescent="0.25">
      <c r="A10" s="58" t="s">
        <v>18</v>
      </c>
      <c r="B10" s="58" t="s">
        <v>28</v>
      </c>
      <c r="C10" s="58" t="s">
        <v>29</v>
      </c>
      <c r="D10" s="59" t="s">
        <v>30</v>
      </c>
      <c r="E10" s="302">
        <v>503</v>
      </c>
      <c r="F10" s="7">
        <v>6</v>
      </c>
      <c r="G10" s="377">
        <f t="shared" si="0"/>
        <v>1.1928429423459244</v>
      </c>
      <c r="H10" s="141">
        <f t="shared" si="1"/>
        <v>0.98807157057654071</v>
      </c>
      <c r="I10" s="303">
        <f t="shared" si="2"/>
        <v>4.9403578528827037</v>
      </c>
    </row>
    <row r="11" spans="1:173" ht="19.5" customHeight="1" x14ac:dyDescent="0.25">
      <c r="A11" s="58" t="s">
        <v>19</v>
      </c>
      <c r="B11" s="58" t="s">
        <v>31</v>
      </c>
      <c r="C11" s="58" t="s">
        <v>32</v>
      </c>
      <c r="D11" s="59" t="s">
        <v>33</v>
      </c>
      <c r="E11" s="302">
        <v>248</v>
      </c>
      <c r="F11" s="7">
        <v>0</v>
      </c>
      <c r="G11" s="377">
        <f t="shared" si="0"/>
        <v>0</v>
      </c>
      <c r="H11" s="141">
        <f t="shared" si="1"/>
        <v>1</v>
      </c>
      <c r="I11" s="303">
        <f t="shared" si="2"/>
        <v>5</v>
      </c>
    </row>
    <row r="12" spans="1:173" x14ac:dyDescent="0.25">
      <c r="A12" s="58" t="s">
        <v>20</v>
      </c>
      <c r="B12" s="58" t="s">
        <v>34</v>
      </c>
      <c r="C12" s="58" t="s">
        <v>35</v>
      </c>
      <c r="D12" s="59" t="s">
        <v>36</v>
      </c>
      <c r="E12" s="302">
        <v>877</v>
      </c>
      <c r="F12" s="7">
        <v>13</v>
      </c>
      <c r="G12" s="377">
        <f t="shared" si="0"/>
        <v>1.4823261117445838</v>
      </c>
      <c r="H12" s="141">
        <f>IF(G12&gt;10,0,1-(G12/100))</f>
        <v>0.98517673888255419</v>
      </c>
      <c r="I12" s="303">
        <f t="shared" si="2"/>
        <v>4.9258836944127706</v>
      </c>
    </row>
    <row r="13" spans="1:173" x14ac:dyDescent="0.25">
      <c r="A13" s="58" t="s">
        <v>21</v>
      </c>
      <c r="B13" s="58" t="s">
        <v>40</v>
      </c>
      <c r="C13" s="58" t="s">
        <v>38</v>
      </c>
      <c r="D13" s="59" t="s">
        <v>39</v>
      </c>
      <c r="E13" s="302">
        <v>154352</v>
      </c>
      <c r="F13" s="7">
        <v>2693</v>
      </c>
      <c r="G13" s="377">
        <f t="shared" si="0"/>
        <v>1.7447133823986734</v>
      </c>
      <c r="H13" s="141">
        <f t="shared" si="1"/>
        <v>0.98255286617601323</v>
      </c>
      <c r="I13" s="303">
        <f t="shared" si="2"/>
        <v>4.9127643308800657</v>
      </c>
    </row>
    <row r="14" spans="1:173" x14ac:dyDescent="0.25">
      <c r="A14" s="292">
        <v>9</v>
      </c>
      <c r="B14" s="58" t="s">
        <v>41</v>
      </c>
      <c r="C14" s="58" t="s">
        <v>42</v>
      </c>
      <c r="D14" s="59" t="s">
        <v>43</v>
      </c>
      <c r="E14" s="302">
        <v>5923</v>
      </c>
      <c r="F14" s="7">
        <v>63</v>
      </c>
      <c r="G14" s="377">
        <f t="shared" si="0"/>
        <v>1.0636501772750295</v>
      </c>
      <c r="H14" s="141">
        <f t="shared" si="1"/>
        <v>0.98936349822724967</v>
      </c>
      <c r="I14" s="303">
        <f t="shared" si="2"/>
        <v>4.9468174911362484</v>
      </c>
    </row>
    <row r="15" spans="1:173" x14ac:dyDescent="0.25">
      <c r="A15" s="292">
        <v>10</v>
      </c>
      <c r="B15" s="58" t="s">
        <v>44</v>
      </c>
      <c r="C15" s="58" t="s">
        <v>45</v>
      </c>
      <c r="D15" s="59" t="s">
        <v>46</v>
      </c>
      <c r="E15" s="302">
        <v>2750</v>
      </c>
      <c r="F15" s="7">
        <v>26</v>
      </c>
      <c r="G15" s="377">
        <f t="shared" si="0"/>
        <v>0.94545454545454555</v>
      </c>
      <c r="H15" s="141">
        <f t="shared" si="1"/>
        <v>0.99054545454545451</v>
      </c>
      <c r="I15" s="303">
        <f t="shared" si="2"/>
        <v>4.9527272727272722</v>
      </c>
    </row>
    <row r="16" spans="1:173" x14ac:dyDescent="0.25">
      <c r="A16" s="292">
        <v>11</v>
      </c>
      <c r="B16" s="58" t="s">
        <v>47</v>
      </c>
      <c r="C16" s="58" t="s">
        <v>48</v>
      </c>
      <c r="D16" s="59" t="s">
        <v>49</v>
      </c>
      <c r="E16" s="302">
        <v>906</v>
      </c>
      <c r="F16" s="7">
        <v>3</v>
      </c>
      <c r="G16" s="377">
        <f t="shared" si="0"/>
        <v>0.33112582781456956</v>
      </c>
      <c r="H16" s="141">
        <f t="shared" si="1"/>
        <v>0.99668874172185429</v>
      </c>
      <c r="I16" s="303">
        <f t="shared" si="2"/>
        <v>4.9834437086092711</v>
      </c>
    </row>
    <row r="17" spans="1:9" x14ac:dyDescent="0.25">
      <c r="A17" s="58" t="s">
        <v>37</v>
      </c>
      <c r="B17" s="58" t="s">
        <v>50</v>
      </c>
      <c r="C17" s="58" t="s">
        <v>51</v>
      </c>
      <c r="D17" s="59" t="s">
        <v>52</v>
      </c>
      <c r="E17" s="302">
        <v>4565</v>
      </c>
      <c r="F17" s="7">
        <v>4</v>
      </c>
      <c r="G17" s="377">
        <f t="shared" si="0"/>
        <v>8.7623220153340634E-2</v>
      </c>
      <c r="H17" s="141">
        <f t="shared" si="1"/>
        <v>0.99912376779846657</v>
      </c>
      <c r="I17" s="303">
        <f t="shared" si="2"/>
        <v>4.9956188389923328</v>
      </c>
    </row>
    <row r="18" spans="1:9" s="64" customFormat="1" x14ac:dyDescent="0.25">
      <c r="A18" s="293" t="s">
        <v>37</v>
      </c>
      <c r="B18" s="293"/>
      <c r="C18" s="293"/>
      <c r="D18" s="294" t="s">
        <v>58</v>
      </c>
      <c r="E18" s="291">
        <f>E6+E7+E8+E9+E10+E11+E12+E13+E14+E15+E16+E17</f>
        <v>176873</v>
      </c>
      <c r="F18" s="291">
        <f>F6+F7+F8+F9+F10+F11+F12+F13+F14+F15+F16+F17</f>
        <v>2854</v>
      </c>
      <c r="G18" s="268">
        <f>SUM(G6:G17)</f>
        <v>7.9174897777981643</v>
      </c>
      <c r="H18" s="295"/>
      <c r="I18" s="296"/>
    </row>
    <row r="19" spans="1:9" x14ac:dyDescent="0.25">
      <c r="H19" s="80"/>
    </row>
    <row r="20" spans="1:9" x14ac:dyDescent="0.25">
      <c r="D20" s="15" t="s">
        <v>55</v>
      </c>
      <c r="G20" s="375">
        <f>G18/A18</f>
        <v>0.65979081481651369</v>
      </c>
      <c r="H20" s="80"/>
    </row>
    <row r="22" spans="1:9" x14ac:dyDescent="0.25">
      <c r="A22" s="391" t="s">
        <v>89</v>
      </c>
      <c r="B22" s="391"/>
      <c r="C22" s="391"/>
      <c r="D22" s="391"/>
      <c r="E22" s="391"/>
      <c r="F22" s="391"/>
    </row>
    <row r="23" spans="1:9" x14ac:dyDescent="0.25">
      <c r="A23" s="441"/>
      <c r="B23" s="391"/>
      <c r="C23" s="442"/>
    </row>
    <row r="30" spans="1:9" x14ac:dyDescent="0.25">
      <c r="E30" s="66"/>
    </row>
    <row r="32" spans="1:9" x14ac:dyDescent="0.25">
      <c r="A32" s="67"/>
      <c r="B32" s="67"/>
      <c r="D32" s="48"/>
    </row>
  </sheetData>
  <mergeCells count="7">
    <mergeCell ref="A22:F22"/>
    <mergeCell ref="A23:C23"/>
    <mergeCell ref="A1:I1"/>
    <mergeCell ref="E2:F2"/>
    <mergeCell ref="E3:F3"/>
    <mergeCell ref="I3:I5"/>
    <mergeCell ref="H3:H5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3"/>
  <sheetViews>
    <sheetView zoomScale="93" zoomScaleNormal="93" workbookViewId="0">
      <selection activeCell="D30" sqref="D30"/>
    </sheetView>
  </sheetViews>
  <sheetFormatPr defaultColWidth="9.140625" defaultRowHeight="15.75" x14ac:dyDescent="0.25"/>
  <cols>
    <col min="1" max="1" width="3.85546875" style="22" customWidth="1"/>
    <col min="2" max="2" width="5.28515625" style="22" customWidth="1"/>
    <col min="3" max="3" width="14" style="22" customWidth="1"/>
    <col min="4" max="4" width="62.42578125" style="22" customWidth="1"/>
    <col min="5" max="5" width="11.5703125" style="22" customWidth="1"/>
    <col min="6" max="6" width="11.5703125" style="15" customWidth="1"/>
    <col min="7" max="7" width="16.28515625" style="15" customWidth="1"/>
    <col min="8" max="8" width="18.42578125" style="15" customWidth="1"/>
    <col min="9" max="9" width="12.140625" style="15" customWidth="1"/>
    <col min="10" max="16384" width="9.140625" style="22"/>
  </cols>
  <sheetData>
    <row r="1" spans="1:9" ht="36" customHeight="1" x14ac:dyDescent="0.25">
      <c r="A1" s="385" t="s">
        <v>83</v>
      </c>
      <c r="B1" s="386"/>
      <c r="C1" s="386"/>
      <c r="D1" s="386"/>
      <c r="E1" s="386"/>
      <c r="F1" s="386"/>
      <c r="G1" s="386"/>
      <c r="H1" s="386"/>
      <c r="I1" s="386"/>
    </row>
    <row r="2" spans="1:9" ht="16.5" thickBot="1" x14ac:dyDescent="0.3">
      <c r="D2" s="129" t="s">
        <v>75</v>
      </c>
      <c r="E2" s="387" t="s">
        <v>206</v>
      </c>
      <c r="F2" s="387"/>
    </row>
    <row r="3" spans="1:9" ht="50.25" customHeight="1" thickBot="1" x14ac:dyDescent="0.3">
      <c r="A3" s="23" t="s">
        <v>0</v>
      </c>
      <c r="B3" s="6"/>
      <c r="C3" s="6" t="s">
        <v>1</v>
      </c>
      <c r="D3" s="6" t="s">
        <v>2</v>
      </c>
      <c r="E3" s="447" t="s">
        <v>3</v>
      </c>
      <c r="F3" s="447"/>
      <c r="G3" s="3"/>
      <c r="H3" s="3"/>
      <c r="I3" s="448" t="s">
        <v>57</v>
      </c>
    </row>
    <row r="4" spans="1:9" ht="32.25" customHeight="1" thickBot="1" x14ac:dyDescent="0.3">
      <c r="A4" s="25"/>
      <c r="B4" s="10"/>
      <c r="C4" s="10"/>
      <c r="D4" s="10"/>
      <c r="E4" s="10" t="s">
        <v>4</v>
      </c>
      <c r="F4" s="11" t="s">
        <v>5</v>
      </c>
      <c r="G4" s="12" t="s">
        <v>79</v>
      </c>
      <c r="H4" s="40" t="s">
        <v>72</v>
      </c>
      <c r="I4" s="449"/>
    </row>
    <row r="5" spans="1:9" ht="51.75" customHeight="1" thickBot="1" x14ac:dyDescent="0.3">
      <c r="A5" s="42"/>
      <c r="B5" s="43"/>
      <c r="C5" s="43"/>
      <c r="D5" s="43"/>
      <c r="E5" s="43" t="s">
        <v>6</v>
      </c>
      <c r="F5" s="44" t="s">
        <v>7</v>
      </c>
      <c r="G5" s="45" t="s">
        <v>56</v>
      </c>
      <c r="H5" s="46" t="s">
        <v>86</v>
      </c>
      <c r="I5" s="450"/>
    </row>
    <row r="6" spans="1:9" x14ac:dyDescent="0.25">
      <c r="A6" s="26" t="s">
        <v>8</v>
      </c>
      <c r="B6" s="27" t="s">
        <v>9</v>
      </c>
      <c r="C6" s="27" t="s">
        <v>10</v>
      </c>
      <c r="D6" s="28" t="s">
        <v>11</v>
      </c>
      <c r="E6" s="8">
        <v>2</v>
      </c>
      <c r="F6" s="8">
        <v>0</v>
      </c>
      <c r="G6" s="170">
        <f>(F6/E6)*100</f>
        <v>0</v>
      </c>
      <c r="H6" s="141">
        <f>IF(G6&gt;10,0,(1-G6/100))</f>
        <v>1</v>
      </c>
      <c r="I6" s="5">
        <f>H6*5</f>
        <v>5</v>
      </c>
    </row>
    <row r="7" spans="1:9" x14ac:dyDescent="0.25">
      <c r="A7" s="29" t="s">
        <v>15</v>
      </c>
      <c r="B7" s="30" t="s">
        <v>12</v>
      </c>
      <c r="C7" s="30" t="s">
        <v>13</v>
      </c>
      <c r="D7" s="31" t="s">
        <v>14</v>
      </c>
      <c r="E7" s="7">
        <v>204</v>
      </c>
      <c r="F7" s="7">
        <v>22</v>
      </c>
      <c r="G7" s="141">
        <f>(F7/E7)*100</f>
        <v>10.784313725490197</v>
      </c>
      <c r="H7" s="141">
        <f t="shared" ref="H7:H12" si="0">IF(G7&gt;10,0,(1-G7/100))</f>
        <v>0</v>
      </c>
      <c r="I7" s="9">
        <f>H7*5</f>
        <v>0</v>
      </c>
    </row>
    <row r="8" spans="1:9" x14ac:dyDescent="0.25">
      <c r="A8" s="29" t="s">
        <v>16</v>
      </c>
      <c r="B8" s="30" t="s">
        <v>22</v>
      </c>
      <c r="C8" s="30" t="s">
        <v>23</v>
      </c>
      <c r="D8" s="31" t="s">
        <v>24</v>
      </c>
      <c r="E8" s="7">
        <v>6</v>
      </c>
      <c r="F8" s="7">
        <v>0</v>
      </c>
      <c r="G8" s="141">
        <f t="shared" ref="G8:G17" si="1">(F8/E8)*100</f>
        <v>0</v>
      </c>
      <c r="H8" s="141">
        <f>IF(G8&gt;10,0,(1-G8/100))</f>
        <v>1</v>
      </c>
      <c r="I8" s="9">
        <f t="shared" ref="I8:I17" si="2">H8*5</f>
        <v>5</v>
      </c>
    </row>
    <row r="9" spans="1:9" ht="20.25" customHeight="1" x14ac:dyDescent="0.25">
      <c r="A9" s="29" t="s">
        <v>17</v>
      </c>
      <c r="B9" s="30" t="s">
        <v>25</v>
      </c>
      <c r="C9" s="30" t="s">
        <v>26</v>
      </c>
      <c r="D9" s="31" t="s">
        <v>27</v>
      </c>
      <c r="E9" s="7">
        <v>3</v>
      </c>
      <c r="F9" s="7">
        <v>0</v>
      </c>
      <c r="G9" s="141">
        <f t="shared" si="1"/>
        <v>0</v>
      </c>
      <c r="H9" s="141">
        <f t="shared" si="0"/>
        <v>1</v>
      </c>
      <c r="I9" s="9">
        <f>H9*5</f>
        <v>5</v>
      </c>
    </row>
    <row r="10" spans="1:9" ht="31.5" x14ac:dyDescent="0.25">
      <c r="A10" s="29" t="s">
        <v>18</v>
      </c>
      <c r="B10" s="30" t="s">
        <v>28</v>
      </c>
      <c r="C10" s="30" t="s">
        <v>29</v>
      </c>
      <c r="D10" s="31" t="s">
        <v>30</v>
      </c>
      <c r="E10" s="7">
        <v>4</v>
      </c>
      <c r="F10" s="7">
        <v>0</v>
      </c>
      <c r="G10" s="141">
        <f>(F10/E10)*100</f>
        <v>0</v>
      </c>
      <c r="H10" s="141">
        <f t="shared" si="0"/>
        <v>1</v>
      </c>
      <c r="I10" s="9">
        <f t="shared" si="2"/>
        <v>5</v>
      </c>
    </row>
    <row r="11" spans="1:9" ht="18" customHeight="1" x14ac:dyDescent="0.25">
      <c r="A11" s="29" t="s">
        <v>19</v>
      </c>
      <c r="B11" s="30" t="s">
        <v>31</v>
      </c>
      <c r="C11" s="30" t="s">
        <v>32</v>
      </c>
      <c r="D11" s="31" t="s">
        <v>33</v>
      </c>
      <c r="E11" s="7">
        <v>3</v>
      </c>
      <c r="F11" s="7">
        <v>0</v>
      </c>
      <c r="G11" s="141">
        <f t="shared" si="1"/>
        <v>0</v>
      </c>
      <c r="H11" s="141">
        <f t="shared" si="0"/>
        <v>1</v>
      </c>
      <c r="I11" s="9">
        <f t="shared" si="2"/>
        <v>5</v>
      </c>
    </row>
    <row r="12" spans="1:9" x14ac:dyDescent="0.25">
      <c r="A12" s="29" t="s">
        <v>20</v>
      </c>
      <c r="B12" s="30" t="s">
        <v>34</v>
      </c>
      <c r="C12" s="30" t="s">
        <v>35</v>
      </c>
      <c r="D12" s="31" t="s">
        <v>36</v>
      </c>
      <c r="E12" s="7">
        <v>54</v>
      </c>
      <c r="F12" s="7">
        <v>7</v>
      </c>
      <c r="G12" s="141">
        <f>(F12/E12)*100</f>
        <v>12.962962962962962</v>
      </c>
      <c r="H12" s="141">
        <f t="shared" si="0"/>
        <v>0</v>
      </c>
      <c r="I12" s="9">
        <f>H12*5</f>
        <v>0</v>
      </c>
    </row>
    <row r="13" spans="1:9" x14ac:dyDescent="0.25">
      <c r="A13" s="29" t="s">
        <v>21</v>
      </c>
      <c r="B13" s="30" t="s">
        <v>40</v>
      </c>
      <c r="C13" s="30" t="s">
        <v>38</v>
      </c>
      <c r="D13" s="31" t="s">
        <v>39</v>
      </c>
      <c r="E13" s="7">
        <v>2456</v>
      </c>
      <c r="F13" s="7">
        <v>50</v>
      </c>
      <c r="G13" s="141">
        <f t="shared" si="1"/>
        <v>2.0358306188925082</v>
      </c>
      <c r="H13" s="141">
        <f>IF(G13&gt;10,0,(1-G13/100))</f>
        <v>0.97964169381107491</v>
      </c>
      <c r="I13" s="9">
        <f>H13*5</f>
        <v>4.8982084690553744</v>
      </c>
    </row>
    <row r="14" spans="1:9" x14ac:dyDescent="0.25">
      <c r="A14" s="32">
        <v>9</v>
      </c>
      <c r="B14" s="30" t="s">
        <v>41</v>
      </c>
      <c r="C14" s="30" t="s">
        <v>42</v>
      </c>
      <c r="D14" s="31" t="s">
        <v>43</v>
      </c>
      <c r="E14" s="7">
        <v>66</v>
      </c>
      <c r="F14" s="7">
        <v>10</v>
      </c>
      <c r="G14" s="141">
        <f>(F14/E14)*100</f>
        <v>15.151515151515152</v>
      </c>
      <c r="H14" s="141">
        <f t="shared" ref="H14:H17" si="3">IF(G14&gt;10,0,(1-G14/100))</f>
        <v>0</v>
      </c>
      <c r="I14" s="9">
        <f t="shared" si="2"/>
        <v>0</v>
      </c>
    </row>
    <row r="15" spans="1:9" x14ac:dyDescent="0.25">
      <c r="A15" s="32">
        <v>10</v>
      </c>
      <c r="B15" s="30" t="s">
        <v>44</v>
      </c>
      <c r="C15" s="30" t="s">
        <v>45</v>
      </c>
      <c r="D15" s="31" t="s">
        <v>46</v>
      </c>
      <c r="E15" s="7">
        <v>49</v>
      </c>
      <c r="F15" s="7">
        <v>1</v>
      </c>
      <c r="G15" s="141">
        <f t="shared" si="1"/>
        <v>2.0408163265306123</v>
      </c>
      <c r="H15" s="141">
        <f t="shared" si="3"/>
        <v>0.97959183673469385</v>
      </c>
      <c r="I15" s="9">
        <f t="shared" si="2"/>
        <v>4.8979591836734695</v>
      </c>
    </row>
    <row r="16" spans="1:9" x14ac:dyDescent="0.25">
      <c r="A16" s="32">
        <v>11</v>
      </c>
      <c r="B16" s="30" t="s">
        <v>47</v>
      </c>
      <c r="C16" s="30" t="s">
        <v>48</v>
      </c>
      <c r="D16" s="31" t="s">
        <v>49</v>
      </c>
      <c r="E16" s="7">
        <v>14</v>
      </c>
      <c r="F16" s="7">
        <v>0</v>
      </c>
      <c r="G16" s="141">
        <f t="shared" si="1"/>
        <v>0</v>
      </c>
      <c r="H16" s="141">
        <f t="shared" si="3"/>
        <v>1</v>
      </c>
      <c r="I16" s="9">
        <f t="shared" si="2"/>
        <v>5</v>
      </c>
    </row>
    <row r="17" spans="1:9" ht="18" customHeight="1" x14ac:dyDescent="0.25">
      <c r="A17" s="29" t="s">
        <v>37</v>
      </c>
      <c r="B17" s="30" t="s">
        <v>50</v>
      </c>
      <c r="C17" s="30" t="s">
        <v>51</v>
      </c>
      <c r="D17" s="31" t="s">
        <v>52</v>
      </c>
      <c r="E17" s="7">
        <v>15</v>
      </c>
      <c r="F17" s="7">
        <v>6</v>
      </c>
      <c r="G17" s="141">
        <f t="shared" si="1"/>
        <v>40</v>
      </c>
      <c r="H17" s="141">
        <f t="shared" si="3"/>
        <v>0</v>
      </c>
      <c r="I17" s="9">
        <f t="shared" si="2"/>
        <v>0</v>
      </c>
    </row>
    <row r="18" spans="1:9" s="36" customFormat="1" ht="16.5" thickBot="1" x14ac:dyDescent="0.3">
      <c r="A18" s="33" t="s">
        <v>37</v>
      </c>
      <c r="B18" s="34"/>
      <c r="C18" s="34"/>
      <c r="D18" s="35" t="s">
        <v>58</v>
      </c>
      <c r="E18" s="17">
        <f>E6+E7+E8+E9+E10+E11+E12+E13+E14+E15+E16+E17</f>
        <v>2876</v>
      </c>
      <c r="F18" s="18">
        <f>F6+F7+F8+F9+F10+F11+F12+F13+F14+F15+F16+F17</f>
        <v>96</v>
      </c>
      <c r="G18" s="171">
        <f>SUM(G6:G17)</f>
        <v>82.975438785391418</v>
      </c>
      <c r="H18" s="20"/>
      <c r="I18" s="21">
        <f>SUM(I6:I17)/12</f>
        <v>3.3163473043940708</v>
      </c>
    </row>
    <row r="19" spans="1:9" x14ac:dyDescent="0.25">
      <c r="A19" s="13"/>
      <c r="B19" s="13"/>
      <c r="C19" s="13"/>
      <c r="D19" s="13"/>
      <c r="E19" s="13"/>
    </row>
    <row r="20" spans="1:9" x14ac:dyDescent="0.25">
      <c r="A20" s="13"/>
      <c r="B20" s="13"/>
      <c r="C20" s="13"/>
      <c r="D20" s="13" t="s">
        <v>55</v>
      </c>
      <c r="E20" s="14"/>
      <c r="G20" s="378">
        <f>G18/A18</f>
        <v>6.9146198987826182</v>
      </c>
    </row>
    <row r="21" spans="1:9" x14ac:dyDescent="0.25">
      <c r="A21" s="13"/>
      <c r="B21" s="13"/>
      <c r="C21" s="13"/>
      <c r="D21" s="13"/>
      <c r="E21" s="37"/>
    </row>
    <row r="22" spans="1:9" s="15" customFormat="1" x14ac:dyDescent="0.25">
      <c r="A22" s="391" t="s">
        <v>89</v>
      </c>
      <c r="B22" s="391"/>
      <c r="C22" s="391"/>
      <c r="D22" s="391"/>
      <c r="E22" s="391"/>
      <c r="F22" s="391"/>
      <c r="G22" s="391"/>
      <c r="H22" s="391"/>
      <c r="I22" s="391"/>
    </row>
    <row r="23" spans="1:9" s="15" customFormat="1" x14ac:dyDescent="0.25">
      <c r="A23" s="382"/>
      <c r="B23" s="383"/>
      <c r="C23" s="384"/>
    </row>
    <row r="24" spans="1:9" x14ac:dyDescent="0.25">
      <c r="A24" s="13"/>
      <c r="B24" s="13"/>
      <c r="C24" s="13"/>
      <c r="D24" s="13"/>
      <c r="E24" s="13"/>
    </row>
    <row r="25" spans="1:9" x14ac:dyDescent="0.25">
      <c r="A25" s="13"/>
      <c r="B25" s="13"/>
      <c r="C25" s="13"/>
      <c r="D25" s="13"/>
      <c r="E25" s="13"/>
    </row>
    <row r="26" spans="1:9" x14ac:dyDescent="0.25">
      <c r="A26" s="13"/>
      <c r="B26" s="13"/>
      <c r="C26" s="13"/>
      <c r="D26" s="13"/>
      <c r="E26" s="13"/>
    </row>
    <row r="31" spans="1:9" x14ac:dyDescent="0.25">
      <c r="E31" s="38"/>
    </row>
    <row r="33" spans="1:5" x14ac:dyDescent="0.25">
      <c r="A33" s="39"/>
      <c r="B33" s="39"/>
      <c r="C33" s="13"/>
      <c r="D33" s="24"/>
      <c r="E33" s="13"/>
    </row>
  </sheetData>
  <mergeCells count="6">
    <mergeCell ref="A23:C23"/>
    <mergeCell ref="E3:F3"/>
    <mergeCell ref="E2:F2"/>
    <mergeCell ref="I3:I5"/>
    <mergeCell ref="A1:I1"/>
    <mergeCell ref="A22:I22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view="pageBreakPreview" zoomScale="87" zoomScaleNormal="100" zoomScaleSheetLayoutView="87" workbookViewId="0">
      <selection activeCell="M17" sqref="M17"/>
    </sheetView>
  </sheetViews>
  <sheetFormatPr defaultColWidth="22.28515625" defaultRowHeight="15" x14ac:dyDescent="0.25"/>
  <cols>
    <col min="1" max="1" width="7.5703125" customWidth="1"/>
    <col min="2" max="2" width="8.42578125" customWidth="1"/>
    <col min="3" max="3" width="15.140625" customWidth="1"/>
    <col min="5" max="5" width="17.85546875" customWidth="1"/>
    <col min="7" max="7" width="20.140625" customWidth="1"/>
    <col min="8" max="8" width="20.7109375" customWidth="1"/>
    <col min="9" max="9" width="19.28515625" customWidth="1"/>
  </cols>
  <sheetData>
    <row r="1" spans="1:9" ht="19.149999999999999" customHeight="1" x14ac:dyDescent="0.25">
      <c r="A1" s="385" t="s">
        <v>216</v>
      </c>
      <c r="B1" s="386"/>
      <c r="C1" s="386"/>
      <c r="D1" s="386"/>
      <c r="E1" s="386"/>
      <c r="F1" s="386"/>
      <c r="G1" s="386"/>
      <c r="H1" s="386"/>
      <c r="I1" s="386"/>
    </row>
    <row r="2" spans="1:9" ht="42.75" customHeight="1" x14ac:dyDescent="0.25">
      <c r="A2" s="452" t="s">
        <v>0</v>
      </c>
      <c r="B2" s="452" t="s">
        <v>108</v>
      </c>
      <c r="C2" s="452" t="s">
        <v>1</v>
      </c>
      <c r="D2" s="452" t="s">
        <v>2</v>
      </c>
      <c r="E2" s="452" t="s">
        <v>217</v>
      </c>
      <c r="F2" s="452"/>
      <c r="G2" s="445" t="s">
        <v>79</v>
      </c>
      <c r="H2" s="445" t="s">
        <v>71</v>
      </c>
      <c r="I2" s="446" t="s">
        <v>57</v>
      </c>
    </row>
    <row r="3" spans="1:9" ht="19.149999999999999" customHeight="1" x14ac:dyDescent="0.25">
      <c r="A3" s="452"/>
      <c r="B3" s="452"/>
      <c r="C3" s="452"/>
      <c r="D3" s="452"/>
      <c r="E3" s="191" t="s">
        <v>93</v>
      </c>
      <c r="F3" s="190" t="s">
        <v>94</v>
      </c>
      <c r="G3" s="445"/>
      <c r="H3" s="445"/>
      <c r="I3" s="453"/>
    </row>
    <row r="4" spans="1:9" ht="49.15" customHeight="1" x14ac:dyDescent="0.25">
      <c r="A4" s="452"/>
      <c r="B4" s="452"/>
      <c r="C4" s="452"/>
      <c r="D4" s="452"/>
      <c r="E4" s="191" t="s">
        <v>95</v>
      </c>
      <c r="F4" s="190" t="s">
        <v>96</v>
      </c>
      <c r="G4" s="190" t="s">
        <v>97</v>
      </c>
      <c r="H4" s="250" t="s">
        <v>99</v>
      </c>
      <c r="I4" s="453"/>
    </row>
    <row r="5" spans="1:9" ht="38.25" customHeight="1" x14ac:dyDescent="0.25">
      <c r="A5" s="176" t="s">
        <v>8</v>
      </c>
      <c r="B5" s="176" t="s">
        <v>9</v>
      </c>
      <c r="C5" s="176" t="s">
        <v>10</v>
      </c>
      <c r="D5" s="180" t="s">
        <v>11</v>
      </c>
      <c r="E5" s="168">
        <v>0</v>
      </c>
      <c r="F5" s="168">
        <v>0</v>
      </c>
      <c r="G5" s="505" t="s">
        <v>98</v>
      </c>
      <c r="H5" s="505">
        <v>1</v>
      </c>
      <c r="I5" s="506">
        <f>H5*5</f>
        <v>5</v>
      </c>
    </row>
    <row r="6" spans="1:9" ht="42.75" customHeight="1" x14ac:dyDescent="0.25">
      <c r="A6" s="176" t="s">
        <v>15</v>
      </c>
      <c r="B6" s="176" t="s">
        <v>12</v>
      </c>
      <c r="C6" s="176" t="s">
        <v>13</v>
      </c>
      <c r="D6" s="180" t="s">
        <v>14</v>
      </c>
      <c r="E6" s="168">
        <v>588831000</v>
      </c>
      <c r="F6" s="168">
        <v>588303336.41999996</v>
      </c>
      <c r="G6" s="511">
        <f>(F6/E6)*100</f>
        <v>99.91038794153161</v>
      </c>
      <c r="H6" s="505">
        <v>1</v>
      </c>
      <c r="I6" s="506">
        <f>H6*5</f>
        <v>5</v>
      </c>
    </row>
    <row r="7" spans="1:9" ht="25.5" x14ac:dyDescent="0.25">
      <c r="A7" s="176" t="s">
        <v>16</v>
      </c>
      <c r="B7" s="176" t="s">
        <v>22</v>
      </c>
      <c r="C7" s="176" t="s">
        <v>23</v>
      </c>
      <c r="D7" s="180" t="s">
        <v>24</v>
      </c>
      <c r="E7" s="168">
        <v>0</v>
      </c>
      <c r="F7" s="168">
        <v>0</v>
      </c>
      <c r="G7" s="505" t="s">
        <v>98</v>
      </c>
      <c r="H7" s="505">
        <v>1</v>
      </c>
      <c r="I7" s="506">
        <f t="shared" ref="I7:I16" si="0">H7*5</f>
        <v>5</v>
      </c>
    </row>
    <row r="8" spans="1:9" ht="29.45" customHeight="1" x14ac:dyDescent="0.25">
      <c r="A8" s="176" t="s">
        <v>17</v>
      </c>
      <c r="B8" s="176" t="s">
        <v>25</v>
      </c>
      <c r="C8" s="176" t="s">
        <v>26</v>
      </c>
      <c r="D8" s="180" t="s">
        <v>27</v>
      </c>
      <c r="E8" s="168">
        <v>0</v>
      </c>
      <c r="F8" s="168">
        <v>0</v>
      </c>
      <c r="G8" s="505" t="s">
        <v>98</v>
      </c>
      <c r="H8" s="505">
        <v>1</v>
      </c>
      <c r="I8" s="506">
        <f t="shared" si="0"/>
        <v>5</v>
      </c>
    </row>
    <row r="9" spans="1:9" ht="41.45" customHeight="1" x14ac:dyDescent="0.25">
      <c r="A9" s="176" t="s">
        <v>18</v>
      </c>
      <c r="B9" s="176" t="s">
        <v>28</v>
      </c>
      <c r="C9" s="176" t="s">
        <v>29</v>
      </c>
      <c r="D9" s="180" t="s">
        <v>30</v>
      </c>
      <c r="E9" s="168">
        <v>0</v>
      </c>
      <c r="F9" s="168">
        <v>0</v>
      </c>
      <c r="G9" s="505" t="s">
        <v>98</v>
      </c>
      <c r="H9" s="505">
        <v>1</v>
      </c>
      <c r="I9" s="506">
        <f t="shared" si="0"/>
        <v>5</v>
      </c>
    </row>
    <row r="10" spans="1:9" ht="44.45" customHeight="1" x14ac:dyDescent="0.25">
      <c r="A10" s="176" t="s">
        <v>19</v>
      </c>
      <c r="B10" s="176" t="s">
        <v>31</v>
      </c>
      <c r="C10" s="176" t="s">
        <v>32</v>
      </c>
      <c r="D10" s="180" t="s">
        <v>33</v>
      </c>
      <c r="E10" s="168">
        <v>729900</v>
      </c>
      <c r="F10" s="168">
        <v>729900</v>
      </c>
      <c r="G10" s="511">
        <f>(F10/E10)*100</f>
        <v>100</v>
      </c>
      <c r="H10" s="505">
        <v>1</v>
      </c>
      <c r="I10" s="506">
        <f t="shared" si="0"/>
        <v>5</v>
      </c>
    </row>
    <row r="11" spans="1:9" ht="15.75" x14ac:dyDescent="0.25">
      <c r="A11" s="176" t="s">
        <v>20</v>
      </c>
      <c r="B11" s="176" t="s">
        <v>34</v>
      </c>
      <c r="C11" s="176" t="s">
        <v>35</v>
      </c>
      <c r="D11" s="180" t="s">
        <v>36</v>
      </c>
      <c r="E11" s="168">
        <v>141870400</v>
      </c>
      <c r="F11" s="168">
        <v>141632776.19</v>
      </c>
      <c r="G11" s="505">
        <f t="shared" ref="G11:G16" si="1">(F11/E11)*100</f>
        <v>99.832506421353571</v>
      </c>
      <c r="H11" s="505">
        <v>1</v>
      </c>
      <c r="I11" s="506">
        <f t="shared" si="0"/>
        <v>5</v>
      </c>
    </row>
    <row r="12" spans="1:9" ht="27" customHeight="1" x14ac:dyDescent="0.25">
      <c r="A12" s="176" t="s">
        <v>21</v>
      </c>
      <c r="B12" s="176" t="s">
        <v>40</v>
      </c>
      <c r="C12" s="176" t="s">
        <v>38</v>
      </c>
      <c r="D12" s="180" t="s">
        <v>39</v>
      </c>
      <c r="E12" s="168">
        <v>1407895100</v>
      </c>
      <c r="F12" s="168">
        <v>1404938830.8800001</v>
      </c>
      <c r="G12" s="505">
        <f t="shared" si="1"/>
        <v>99.790022060592449</v>
      </c>
      <c r="H12" s="505">
        <v>1</v>
      </c>
      <c r="I12" s="506">
        <f>H12*5</f>
        <v>5</v>
      </c>
    </row>
    <row r="13" spans="1:9" ht="25.5" x14ac:dyDescent="0.25">
      <c r="A13" s="182">
        <v>9</v>
      </c>
      <c r="B13" s="176" t="s">
        <v>41</v>
      </c>
      <c r="C13" s="176" t="s">
        <v>42</v>
      </c>
      <c r="D13" s="180" t="s">
        <v>43</v>
      </c>
      <c r="E13" s="168">
        <v>1202700</v>
      </c>
      <c r="F13" s="168">
        <v>1188037.78</v>
      </c>
      <c r="G13" s="505">
        <f t="shared" si="1"/>
        <v>98.780891327845694</v>
      </c>
      <c r="H13" s="505">
        <v>1</v>
      </c>
      <c r="I13" s="506">
        <f t="shared" si="0"/>
        <v>5</v>
      </c>
    </row>
    <row r="14" spans="1:9" ht="38.25" x14ac:dyDescent="0.25">
      <c r="A14" s="182">
        <v>10</v>
      </c>
      <c r="B14" s="176" t="s">
        <v>44</v>
      </c>
      <c r="C14" s="176" t="s">
        <v>45</v>
      </c>
      <c r="D14" s="180" t="s">
        <v>46</v>
      </c>
      <c r="E14" s="168">
        <v>5904200</v>
      </c>
      <c r="F14" s="168">
        <v>5718335.6900000004</v>
      </c>
      <c r="G14" s="505">
        <f t="shared" si="1"/>
        <v>96.851998407913015</v>
      </c>
      <c r="H14" s="505">
        <v>0</v>
      </c>
      <c r="I14" s="506">
        <f t="shared" si="0"/>
        <v>0</v>
      </c>
    </row>
    <row r="15" spans="1:9" ht="27" customHeight="1" x14ac:dyDescent="0.25">
      <c r="A15" s="182">
        <v>11</v>
      </c>
      <c r="B15" s="176" t="s">
        <v>47</v>
      </c>
      <c r="C15" s="176" t="s">
        <v>48</v>
      </c>
      <c r="D15" s="180" t="s">
        <v>49</v>
      </c>
      <c r="E15" s="168">
        <v>0</v>
      </c>
      <c r="F15" s="168">
        <v>0</v>
      </c>
      <c r="G15" s="505" t="s">
        <v>98</v>
      </c>
      <c r="H15" s="505">
        <v>1</v>
      </c>
      <c r="I15" s="506">
        <f t="shared" si="0"/>
        <v>5</v>
      </c>
    </row>
    <row r="16" spans="1:9" ht="29.45" customHeight="1" x14ac:dyDescent="0.25">
      <c r="A16" s="176" t="s">
        <v>37</v>
      </c>
      <c r="B16" s="176" t="s">
        <v>50</v>
      </c>
      <c r="C16" s="176" t="s">
        <v>51</v>
      </c>
      <c r="D16" s="180" t="s">
        <v>52</v>
      </c>
      <c r="E16" s="168">
        <v>112963900</v>
      </c>
      <c r="F16" s="168">
        <v>111296806.18000001</v>
      </c>
      <c r="G16" s="505">
        <f t="shared" si="1"/>
        <v>98.524224269877365</v>
      </c>
      <c r="H16" s="505">
        <v>1</v>
      </c>
      <c r="I16" s="506">
        <f t="shared" si="0"/>
        <v>5</v>
      </c>
    </row>
    <row r="17" spans="1:12" ht="15.75" x14ac:dyDescent="0.25">
      <c r="A17" s="454" t="s">
        <v>58</v>
      </c>
      <c r="B17" s="395"/>
      <c r="C17" s="395"/>
      <c r="D17" s="455"/>
      <c r="E17" s="262">
        <f>E5+E6+E7+E8+E9+E10+E11+E12+E13+E14+E15+E16</f>
        <v>2259397200</v>
      </c>
      <c r="F17" s="262">
        <f t="shared" ref="F17:I17" si="2">F5+F6+F7+F8+F9+F10+F11+F12+F13+F14+F15+F16</f>
        <v>2253808023.1399999</v>
      </c>
      <c r="G17" s="380"/>
      <c r="H17" s="507">
        <f>H5+H6+H7+H8+H9+H10+H11+H12+H13+H14+H15+H16</f>
        <v>11</v>
      </c>
      <c r="I17" s="507">
        <f t="shared" si="2"/>
        <v>55</v>
      </c>
    </row>
    <row r="18" spans="1:12" ht="15.75" x14ac:dyDescent="0.25">
      <c r="A18" s="397" t="s">
        <v>184</v>
      </c>
      <c r="B18" s="398"/>
      <c r="C18" s="398"/>
      <c r="D18" s="399"/>
      <c r="E18" s="253"/>
      <c r="F18" s="254"/>
      <c r="G18" s="510"/>
      <c r="H18" s="510">
        <f>H17/12</f>
        <v>0.91666666666666663</v>
      </c>
      <c r="I18" s="510">
        <f t="shared" ref="I18" si="3">I17/12</f>
        <v>4.583333333333333</v>
      </c>
    </row>
    <row r="19" spans="1:12" ht="38.25" customHeight="1" x14ac:dyDescent="0.25">
      <c r="A19" s="451" t="s">
        <v>100</v>
      </c>
      <c r="B19" s="451"/>
      <c r="C19" s="451"/>
      <c r="D19" s="451"/>
      <c r="E19" s="451"/>
      <c r="F19" s="451"/>
      <c r="G19" s="451"/>
      <c r="H19" s="451"/>
      <c r="I19" s="451"/>
      <c r="J19" s="178"/>
      <c r="K19" s="178"/>
      <c r="L19" s="178"/>
    </row>
    <row r="20" spans="1:12" ht="15.75" x14ac:dyDescent="0.25">
      <c r="A20" s="13"/>
      <c r="B20" s="13"/>
      <c r="C20" s="13"/>
      <c r="D20" s="13"/>
      <c r="E20" s="37"/>
      <c r="F20" s="15"/>
      <c r="G20" s="15"/>
      <c r="H20" s="15"/>
      <c r="I20" s="15"/>
    </row>
    <row r="21" spans="1:12" ht="15.75" x14ac:dyDescent="0.25">
      <c r="A21" s="391" t="s">
        <v>221</v>
      </c>
      <c r="B21" s="391"/>
      <c r="C21" s="391"/>
      <c r="D21" s="391"/>
      <c r="E21" s="391"/>
      <c r="F21" s="391"/>
      <c r="G21" s="391"/>
      <c r="H21" s="391"/>
      <c r="I21" s="391"/>
    </row>
  </sheetData>
  <mergeCells count="13">
    <mergeCell ref="A19:I19"/>
    <mergeCell ref="A1:I1"/>
    <mergeCell ref="E2:F2"/>
    <mergeCell ref="I2:I4"/>
    <mergeCell ref="A21:I21"/>
    <mergeCell ref="A2:A4"/>
    <mergeCell ref="B2:B4"/>
    <mergeCell ref="C2:C4"/>
    <mergeCell ref="D2:D4"/>
    <mergeCell ref="G2:G3"/>
    <mergeCell ref="H2:H3"/>
    <mergeCell ref="A17:D17"/>
    <mergeCell ref="A18:D18"/>
  </mergeCells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T33"/>
  <sheetViews>
    <sheetView view="pageBreakPreview" zoomScale="80" zoomScaleNormal="100" zoomScaleSheetLayoutView="80" workbookViewId="0">
      <selection activeCell="L13" sqref="L13"/>
    </sheetView>
  </sheetViews>
  <sheetFormatPr defaultColWidth="9.140625" defaultRowHeight="15.75" x14ac:dyDescent="0.25"/>
  <cols>
    <col min="1" max="1" width="6.28515625" style="15" customWidth="1"/>
    <col min="2" max="2" width="7" style="15" customWidth="1"/>
    <col min="3" max="3" width="15.7109375" style="15" customWidth="1"/>
    <col min="4" max="4" width="52.42578125" style="15" customWidth="1"/>
    <col min="5" max="5" width="14.7109375" style="15" customWidth="1"/>
    <col min="6" max="6" width="21.28515625" style="15" customWidth="1"/>
    <col min="7" max="7" width="11.85546875" style="15" customWidth="1"/>
    <col min="8" max="8" width="16.42578125" style="15" customWidth="1"/>
    <col min="9" max="9" width="18.5703125" style="15" customWidth="1"/>
    <col min="10" max="10" width="16" style="15" customWidth="1"/>
    <col min="11" max="11" width="14.140625" style="15" customWidth="1"/>
    <col min="12" max="12" width="12.5703125" style="15" customWidth="1"/>
    <col min="13" max="16384" width="9.140625" style="15"/>
  </cols>
  <sheetData>
    <row r="1" spans="1:176" ht="18.75" customHeight="1" thickBot="1" x14ac:dyDescent="0.3">
      <c r="A1" s="456" t="s">
        <v>118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</row>
    <row r="2" spans="1:176" ht="16.5" thickBot="1" x14ac:dyDescent="0.3">
      <c r="D2" s="201" t="s">
        <v>75</v>
      </c>
      <c r="E2" s="118" t="s">
        <v>205</v>
      </c>
      <c r="F2" s="119"/>
      <c r="G2" s="120"/>
      <c r="H2" s="457" t="s">
        <v>206</v>
      </c>
      <c r="I2" s="457"/>
    </row>
    <row r="3" spans="1:176" ht="31.5" customHeight="1" thickBot="1" x14ac:dyDescent="0.3">
      <c r="A3" s="69" t="s">
        <v>0</v>
      </c>
      <c r="B3" s="49"/>
      <c r="C3" s="50" t="s">
        <v>1</v>
      </c>
      <c r="D3" s="109" t="s">
        <v>2</v>
      </c>
      <c r="E3" s="458"/>
      <c r="F3" s="459"/>
      <c r="G3" s="114"/>
      <c r="H3" s="460"/>
      <c r="I3" s="437"/>
      <c r="J3" s="104"/>
      <c r="K3" s="438" t="s">
        <v>125</v>
      </c>
      <c r="L3" s="438" t="s">
        <v>57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</row>
    <row r="4" spans="1:176" ht="48" customHeight="1" thickBot="1" x14ac:dyDescent="0.3">
      <c r="A4" s="49"/>
      <c r="B4" s="70"/>
      <c r="C4" s="70"/>
      <c r="D4" s="110"/>
      <c r="E4" s="205" t="s">
        <v>119</v>
      </c>
      <c r="F4" s="204" t="s">
        <v>120</v>
      </c>
      <c r="G4" s="126" t="s">
        <v>79</v>
      </c>
      <c r="H4" s="116" t="s">
        <v>119</v>
      </c>
      <c r="I4" s="71" t="s">
        <v>120</v>
      </c>
      <c r="J4" s="105" t="s">
        <v>79</v>
      </c>
      <c r="K4" s="461"/>
      <c r="L4" s="439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</row>
    <row r="5" spans="1:176" ht="36.75" customHeight="1" thickBot="1" x14ac:dyDescent="0.3">
      <c r="A5" s="81"/>
      <c r="B5" s="51"/>
      <c r="C5" s="51"/>
      <c r="D5" s="68"/>
      <c r="E5" s="206" t="s">
        <v>121</v>
      </c>
      <c r="F5" s="207" t="s">
        <v>122</v>
      </c>
      <c r="G5" s="208" t="s">
        <v>123</v>
      </c>
      <c r="H5" s="117" t="s">
        <v>121</v>
      </c>
      <c r="I5" s="68" t="s">
        <v>122</v>
      </c>
      <c r="J5" s="106" t="s">
        <v>123</v>
      </c>
      <c r="K5" s="462"/>
      <c r="L5" s="439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</row>
    <row r="6" spans="1:176" ht="16.5" thickBot="1" x14ac:dyDescent="0.3">
      <c r="A6" s="82" t="s">
        <v>8</v>
      </c>
      <c r="B6" s="54" t="s">
        <v>9</v>
      </c>
      <c r="C6" s="55" t="s">
        <v>10</v>
      </c>
      <c r="D6" s="111" t="s">
        <v>11</v>
      </c>
      <c r="E6" s="102">
        <v>0</v>
      </c>
      <c r="F6" s="4">
        <v>5455206</v>
      </c>
      <c r="G6" s="115">
        <f>E6/F6*100</f>
        <v>0</v>
      </c>
      <c r="H6" s="365">
        <v>0</v>
      </c>
      <c r="I6" s="366">
        <v>5470248.4400000004</v>
      </c>
      <c r="J6" s="107">
        <f>H6/I6*100</f>
        <v>0</v>
      </c>
      <c r="K6" s="102">
        <f>IF(J6&gt;10,0,1-(J6/100))</f>
        <v>1</v>
      </c>
      <c r="L6" s="223">
        <v>5</v>
      </c>
    </row>
    <row r="7" spans="1:176" ht="18.75" customHeight="1" thickBot="1" x14ac:dyDescent="0.3">
      <c r="A7" s="56" t="s">
        <v>15</v>
      </c>
      <c r="B7" s="57" t="s">
        <v>12</v>
      </c>
      <c r="C7" s="58" t="s">
        <v>13</v>
      </c>
      <c r="D7" s="112" t="s">
        <v>14</v>
      </c>
      <c r="E7" s="103">
        <v>8706716.0500000007</v>
      </c>
      <c r="F7" s="2">
        <v>1024914144.25</v>
      </c>
      <c r="G7" s="115">
        <f t="shared" ref="G7:G17" si="0">E7/F7*100</f>
        <v>0.84950686834079181</v>
      </c>
      <c r="H7" s="367">
        <v>60959</v>
      </c>
      <c r="I7" s="368">
        <v>1640387445.3</v>
      </c>
      <c r="J7" s="107">
        <f t="shared" ref="J7:J17" si="1">H7/I7*100</f>
        <v>3.7161342690507854E-3</v>
      </c>
      <c r="K7" s="102">
        <f>IF(J7&gt;10,0,1-(J7/100))</f>
        <v>0.99996283865730951</v>
      </c>
      <c r="L7" s="108">
        <f>K7*5</f>
        <v>4.9998141932865474</v>
      </c>
    </row>
    <row r="8" spans="1:176" ht="16.5" thickBot="1" x14ac:dyDescent="0.3">
      <c r="A8" s="56" t="s">
        <v>16</v>
      </c>
      <c r="B8" s="57" t="s">
        <v>22</v>
      </c>
      <c r="C8" s="58" t="s">
        <v>23</v>
      </c>
      <c r="D8" s="112" t="s">
        <v>24</v>
      </c>
      <c r="E8" s="103">
        <v>0</v>
      </c>
      <c r="F8" s="2">
        <v>27769996.920000002</v>
      </c>
      <c r="G8" s="115">
        <f t="shared" si="0"/>
        <v>0</v>
      </c>
      <c r="H8" s="367">
        <v>0</v>
      </c>
      <c r="I8" s="368">
        <v>29516719.73</v>
      </c>
      <c r="J8" s="107">
        <f t="shared" si="1"/>
        <v>0</v>
      </c>
      <c r="K8" s="103">
        <f t="shared" ref="K8:K17" si="2">IF(J8&gt;10,0,1-(J8/100))</f>
        <v>1</v>
      </c>
      <c r="L8" s="108">
        <v>5</v>
      </c>
    </row>
    <row r="9" spans="1:176" ht="32.25" thickBot="1" x14ac:dyDescent="0.3">
      <c r="A9" s="56" t="s">
        <v>17</v>
      </c>
      <c r="B9" s="57" t="s">
        <v>25</v>
      </c>
      <c r="C9" s="58" t="s">
        <v>26</v>
      </c>
      <c r="D9" s="112" t="s">
        <v>27</v>
      </c>
      <c r="E9" s="103">
        <v>0</v>
      </c>
      <c r="F9" s="2">
        <v>4666716.67</v>
      </c>
      <c r="G9" s="115">
        <f t="shared" si="0"/>
        <v>0</v>
      </c>
      <c r="H9" s="367">
        <v>0</v>
      </c>
      <c r="I9" s="368">
        <v>4816903.3</v>
      </c>
      <c r="J9" s="107">
        <f t="shared" si="1"/>
        <v>0</v>
      </c>
      <c r="K9" s="103">
        <f t="shared" si="2"/>
        <v>1</v>
      </c>
      <c r="L9" s="108">
        <v>5</v>
      </c>
    </row>
    <row r="10" spans="1:176" ht="32.25" thickBot="1" x14ac:dyDescent="0.3">
      <c r="A10" s="56" t="s">
        <v>18</v>
      </c>
      <c r="B10" s="57" t="s">
        <v>28</v>
      </c>
      <c r="C10" s="58" t="s">
        <v>29</v>
      </c>
      <c r="D10" s="112" t="s">
        <v>30</v>
      </c>
      <c r="E10" s="103">
        <v>0</v>
      </c>
      <c r="F10" s="2">
        <v>7225523.2999999998</v>
      </c>
      <c r="G10" s="115">
        <f t="shared" si="0"/>
        <v>0</v>
      </c>
      <c r="H10" s="367">
        <v>0</v>
      </c>
      <c r="I10" s="368">
        <v>7714625.2300000004</v>
      </c>
      <c r="J10" s="107">
        <f t="shared" si="1"/>
        <v>0</v>
      </c>
      <c r="K10" s="103">
        <f t="shared" si="2"/>
        <v>1</v>
      </c>
      <c r="L10" s="108">
        <v>5</v>
      </c>
    </row>
    <row r="11" spans="1:176" ht="19.5" customHeight="1" thickBot="1" x14ac:dyDescent="0.3">
      <c r="A11" s="56" t="s">
        <v>19</v>
      </c>
      <c r="B11" s="57" t="s">
        <v>31</v>
      </c>
      <c r="C11" s="58" t="s">
        <v>32</v>
      </c>
      <c r="D11" s="112" t="s">
        <v>33</v>
      </c>
      <c r="E11" s="103">
        <v>0</v>
      </c>
      <c r="F11" s="2">
        <v>5320560.55</v>
      </c>
      <c r="G11" s="115">
        <f t="shared" si="0"/>
        <v>0</v>
      </c>
      <c r="H11" s="367">
        <v>0</v>
      </c>
      <c r="I11" s="368">
        <v>5863988.2599999998</v>
      </c>
      <c r="J11" s="107">
        <f t="shared" si="1"/>
        <v>0</v>
      </c>
      <c r="K11" s="103">
        <f t="shared" si="2"/>
        <v>1</v>
      </c>
      <c r="L11" s="108">
        <v>5</v>
      </c>
    </row>
    <row r="12" spans="1:176" ht="16.5" thickBot="1" x14ac:dyDescent="0.3">
      <c r="A12" s="56" t="s">
        <v>20</v>
      </c>
      <c r="B12" s="57" t="s">
        <v>34</v>
      </c>
      <c r="C12" s="58" t="s">
        <v>35</v>
      </c>
      <c r="D12" s="112" t="s">
        <v>36</v>
      </c>
      <c r="E12" s="103">
        <v>970110.28</v>
      </c>
      <c r="F12" s="2">
        <v>24449825.32</v>
      </c>
      <c r="G12" s="115">
        <f t="shared" si="0"/>
        <v>3.9677595537112005</v>
      </c>
      <c r="H12" s="367">
        <v>957946.99</v>
      </c>
      <c r="I12" s="368">
        <v>264479655.81999999</v>
      </c>
      <c r="J12" s="107">
        <f t="shared" si="1"/>
        <v>0.36220063393154184</v>
      </c>
      <c r="K12" s="103">
        <f t="shared" si="2"/>
        <v>0.99637799366068458</v>
      </c>
      <c r="L12" s="108">
        <v>5</v>
      </c>
    </row>
    <row r="13" spans="1:176" ht="16.5" thickBot="1" x14ac:dyDescent="0.3">
      <c r="A13" s="56" t="s">
        <v>21</v>
      </c>
      <c r="B13" s="57" t="s">
        <v>40</v>
      </c>
      <c r="C13" s="58" t="s">
        <v>38</v>
      </c>
      <c r="D13" s="112" t="s">
        <v>39</v>
      </c>
      <c r="E13" s="103">
        <v>0</v>
      </c>
      <c r="F13" s="2">
        <v>2140733502</v>
      </c>
      <c r="G13" s="115">
        <f t="shared" si="0"/>
        <v>0</v>
      </c>
      <c r="H13" s="367">
        <v>0</v>
      </c>
      <c r="I13" s="368">
        <v>2612713162.7199998</v>
      </c>
      <c r="J13" s="107">
        <f t="shared" si="1"/>
        <v>0</v>
      </c>
      <c r="K13" s="103">
        <f t="shared" si="2"/>
        <v>1</v>
      </c>
      <c r="L13" s="108">
        <v>5</v>
      </c>
    </row>
    <row r="14" spans="1:176" ht="16.5" thickBot="1" x14ac:dyDescent="0.3">
      <c r="A14" s="60">
        <v>9</v>
      </c>
      <c r="B14" s="57" t="s">
        <v>41</v>
      </c>
      <c r="C14" s="58" t="s">
        <v>42</v>
      </c>
      <c r="D14" s="112" t="s">
        <v>43</v>
      </c>
      <c r="E14" s="103">
        <v>0</v>
      </c>
      <c r="F14" s="2">
        <v>141909469.49000001</v>
      </c>
      <c r="G14" s="115">
        <f t="shared" si="0"/>
        <v>0</v>
      </c>
      <c r="H14" s="367">
        <v>0</v>
      </c>
      <c r="I14" s="368">
        <v>145448367.94</v>
      </c>
      <c r="J14" s="107">
        <f t="shared" si="1"/>
        <v>0</v>
      </c>
      <c r="K14" s="103">
        <f t="shared" si="2"/>
        <v>1</v>
      </c>
      <c r="L14" s="108">
        <v>5</v>
      </c>
    </row>
    <row r="15" spans="1:176" ht="16.5" thickBot="1" x14ac:dyDescent="0.3">
      <c r="A15" s="60">
        <v>10</v>
      </c>
      <c r="B15" s="57" t="s">
        <v>44</v>
      </c>
      <c r="C15" s="58" t="s">
        <v>45</v>
      </c>
      <c r="D15" s="112" t="s">
        <v>46</v>
      </c>
      <c r="E15" s="103">
        <v>0</v>
      </c>
      <c r="F15" s="2">
        <v>95102368.230000004</v>
      </c>
      <c r="G15" s="115">
        <f t="shared" si="0"/>
        <v>0</v>
      </c>
      <c r="H15" s="367">
        <v>0</v>
      </c>
      <c r="I15" s="368">
        <v>110798499.03</v>
      </c>
      <c r="J15" s="107">
        <f t="shared" si="1"/>
        <v>0</v>
      </c>
      <c r="K15" s="103">
        <f t="shared" si="2"/>
        <v>1</v>
      </c>
      <c r="L15" s="108">
        <v>5</v>
      </c>
    </row>
    <row r="16" spans="1:176" ht="16.5" thickBot="1" x14ac:dyDescent="0.3">
      <c r="A16" s="60">
        <v>11</v>
      </c>
      <c r="B16" s="57" t="s">
        <v>47</v>
      </c>
      <c r="C16" s="58" t="s">
        <v>48</v>
      </c>
      <c r="D16" s="112" t="s">
        <v>49</v>
      </c>
      <c r="E16" s="103">
        <v>0</v>
      </c>
      <c r="F16" s="2">
        <v>19241367.48</v>
      </c>
      <c r="G16" s="115">
        <f t="shared" si="0"/>
        <v>0</v>
      </c>
      <c r="H16" s="367">
        <v>0</v>
      </c>
      <c r="I16" s="368">
        <v>19778106.100000001</v>
      </c>
      <c r="J16" s="107">
        <f t="shared" si="1"/>
        <v>0</v>
      </c>
      <c r="K16" s="103">
        <f t="shared" si="2"/>
        <v>1</v>
      </c>
      <c r="L16" s="108">
        <v>5</v>
      </c>
    </row>
    <row r="17" spans="1:12" ht="35.25" customHeight="1" thickBot="1" x14ac:dyDescent="0.3">
      <c r="A17" s="56" t="s">
        <v>37</v>
      </c>
      <c r="B17" s="57" t="s">
        <v>50</v>
      </c>
      <c r="C17" s="58" t="s">
        <v>51</v>
      </c>
      <c r="D17" s="112" t="s">
        <v>52</v>
      </c>
      <c r="E17" s="103">
        <v>0</v>
      </c>
      <c r="F17" s="2">
        <v>104922173.12</v>
      </c>
      <c r="G17" s="115">
        <f t="shared" si="0"/>
        <v>0</v>
      </c>
      <c r="H17" s="367">
        <v>0</v>
      </c>
      <c r="I17" s="368">
        <v>112266591.48999999</v>
      </c>
      <c r="J17" s="107">
        <f t="shared" si="1"/>
        <v>0</v>
      </c>
      <c r="K17" s="103">
        <f t="shared" si="2"/>
        <v>1</v>
      </c>
      <c r="L17" s="108">
        <v>5</v>
      </c>
    </row>
    <row r="18" spans="1:12" s="64" customFormat="1" ht="16.5" thickBot="1" x14ac:dyDescent="0.3">
      <c r="A18" s="61" t="s">
        <v>37</v>
      </c>
      <c r="B18" s="62"/>
      <c r="C18" s="63"/>
      <c r="D18" s="113" t="s">
        <v>58</v>
      </c>
      <c r="E18" s="362">
        <f>E6+E7+E8+E9+E10+E11+E12+E13+E14+E15+E16+E17</f>
        <v>9676826.3300000001</v>
      </c>
      <c r="F18" s="363">
        <f>F6+F7+F8+F9+F10+F11+F12+F13+F14+F15+F16+F17</f>
        <v>3601710853.3299999</v>
      </c>
      <c r="G18" s="115">
        <f t="shared" ref="G18" si="3">E18/F18*100</f>
        <v>0.26867304800587161</v>
      </c>
      <c r="H18" s="364">
        <f>H6+H7+H8+H9+H10+H11+H12+H13+H14+H15+H16+H17</f>
        <v>1018905.99</v>
      </c>
      <c r="I18" s="19">
        <f>I6+I7+I8+I9+I10+I11+I12+I13+I14+I15+I16+I17</f>
        <v>4959254313.3599987</v>
      </c>
      <c r="J18" s="107">
        <f t="shared" ref="J18" si="4">H18/I18*100</f>
        <v>2.0545548294531198E-2</v>
      </c>
      <c r="K18" s="224">
        <v>1</v>
      </c>
      <c r="L18" s="225">
        <v>5</v>
      </c>
    </row>
    <row r="19" spans="1:12" ht="15.6" x14ac:dyDescent="0.3">
      <c r="E19" s="121"/>
      <c r="F19" s="122"/>
      <c r="G19" s="123"/>
      <c r="K19" s="80"/>
    </row>
    <row r="20" spans="1:12" ht="16.5" thickBot="1" x14ac:dyDescent="0.3">
      <c r="D20" s="15" t="s">
        <v>55</v>
      </c>
      <c r="E20" s="124"/>
      <c r="F20" s="125"/>
      <c r="G20" s="127">
        <f>G18/A18</f>
        <v>2.2389420667155966E-2</v>
      </c>
      <c r="J20" s="128">
        <f>J18/A18</f>
        <v>1.7121290245442665E-3</v>
      </c>
    </row>
    <row r="21" spans="1:12" x14ac:dyDescent="0.25">
      <c r="H21" s="65"/>
    </row>
    <row r="23" spans="1:12" x14ac:dyDescent="0.25">
      <c r="A23" s="391" t="s">
        <v>200</v>
      </c>
      <c r="B23" s="391"/>
      <c r="C23" s="391"/>
      <c r="D23" s="391"/>
      <c r="E23" s="391"/>
      <c r="F23" s="391"/>
      <c r="G23" s="391"/>
      <c r="H23" s="391"/>
      <c r="I23" s="391"/>
    </row>
    <row r="24" spans="1:12" x14ac:dyDescent="0.25">
      <c r="A24" s="441"/>
      <c r="B24" s="391"/>
      <c r="C24" s="442"/>
    </row>
    <row r="31" spans="1:12" x14ac:dyDescent="0.25">
      <c r="H31" s="66"/>
    </row>
    <row r="33" spans="1:7" x14ac:dyDescent="0.25">
      <c r="A33" s="67"/>
      <c r="B33" s="67"/>
      <c r="D33" s="48"/>
      <c r="E33" s="48"/>
      <c r="F33" s="48"/>
      <c r="G33" s="48"/>
    </row>
  </sheetData>
  <mergeCells count="8">
    <mergeCell ref="A23:I23"/>
    <mergeCell ref="A24:C24"/>
    <mergeCell ref="A1:L1"/>
    <mergeCell ref="H2:I2"/>
    <mergeCell ref="E3:F3"/>
    <mergeCell ref="H3:I3"/>
    <mergeCell ref="K3:K5"/>
    <mergeCell ref="L3:L5"/>
  </mergeCells>
  <pageMargins left="0.7" right="0.7" top="0.75" bottom="0.75" header="0.3" footer="0.3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22"/>
  <sheetViews>
    <sheetView view="pageBreakPreview" zoomScale="74" zoomScaleNormal="100" zoomScaleSheetLayoutView="74" workbookViewId="0">
      <selection activeCell="A3" sqref="A3"/>
    </sheetView>
  </sheetViews>
  <sheetFormatPr defaultRowHeight="15" x14ac:dyDescent="0.25"/>
  <cols>
    <col min="1" max="1" width="5.140625" customWidth="1"/>
    <col min="2" max="2" width="6.28515625" customWidth="1"/>
    <col min="3" max="3" width="13.28515625" customWidth="1"/>
    <col min="4" max="4" width="30.7109375" customWidth="1"/>
    <col min="5" max="5" width="26.7109375" customWidth="1"/>
    <col min="6" max="6" width="24.42578125" customWidth="1"/>
    <col min="7" max="7" width="16.5703125" customWidth="1"/>
  </cols>
  <sheetData>
    <row r="2" spans="1:7" x14ac:dyDescent="0.25">
      <c r="A2" s="385" t="s">
        <v>207</v>
      </c>
      <c r="B2" s="386"/>
      <c r="C2" s="386"/>
      <c r="D2" s="386"/>
      <c r="E2" s="386"/>
      <c r="F2" s="386"/>
      <c r="G2" s="386"/>
    </row>
    <row r="3" spans="1:7" ht="16.149999999999999" thickBot="1" x14ac:dyDescent="0.35">
      <c r="A3" s="22"/>
      <c r="B3" s="22"/>
      <c r="C3" s="22"/>
      <c r="D3" s="201"/>
      <c r="E3" s="202"/>
      <c r="F3" s="15"/>
      <c r="G3" s="15"/>
    </row>
    <row r="4" spans="1:7" ht="63.75" customHeight="1" thickBot="1" x14ac:dyDescent="0.3">
      <c r="A4" s="156" t="s">
        <v>0</v>
      </c>
      <c r="B4" s="203" t="s">
        <v>108</v>
      </c>
      <c r="C4" s="203" t="s">
        <v>1</v>
      </c>
      <c r="D4" s="203" t="s">
        <v>2</v>
      </c>
      <c r="E4" s="203" t="s">
        <v>126</v>
      </c>
      <c r="F4" s="162" t="s">
        <v>72</v>
      </c>
      <c r="G4" s="463" t="s">
        <v>128</v>
      </c>
    </row>
    <row r="5" spans="1:7" ht="34.15" customHeight="1" thickBot="1" x14ac:dyDescent="0.3">
      <c r="A5" s="163"/>
      <c r="B5" s="164"/>
      <c r="C5" s="164"/>
      <c r="D5" s="164"/>
      <c r="E5" s="210"/>
      <c r="F5" s="167" t="s">
        <v>127</v>
      </c>
      <c r="G5" s="464"/>
    </row>
    <row r="6" spans="1:7" ht="30" customHeight="1" thickBot="1" x14ac:dyDescent="0.3">
      <c r="A6" s="173" t="s">
        <v>8</v>
      </c>
      <c r="B6" s="174" t="s">
        <v>9</v>
      </c>
      <c r="C6" s="174" t="s">
        <v>10</v>
      </c>
      <c r="D6" s="179" t="s">
        <v>11</v>
      </c>
      <c r="E6" s="209">
        <v>0</v>
      </c>
      <c r="F6" s="141">
        <v>1</v>
      </c>
      <c r="G6" s="5">
        <v>10</v>
      </c>
    </row>
    <row r="7" spans="1:7" ht="26.25" thickBot="1" x14ac:dyDescent="0.3">
      <c r="A7" s="175" t="s">
        <v>15</v>
      </c>
      <c r="B7" s="176" t="s">
        <v>12</v>
      </c>
      <c r="C7" s="176" t="s">
        <v>13</v>
      </c>
      <c r="D7" s="180" t="s">
        <v>14</v>
      </c>
      <c r="E7" s="168">
        <v>0</v>
      </c>
      <c r="F7" s="141">
        <v>1</v>
      </c>
      <c r="G7" s="5">
        <v>10</v>
      </c>
    </row>
    <row r="8" spans="1:7" ht="26.25" thickBot="1" x14ac:dyDescent="0.3">
      <c r="A8" s="175" t="s">
        <v>16</v>
      </c>
      <c r="B8" s="176" t="s">
        <v>22</v>
      </c>
      <c r="C8" s="176" t="s">
        <v>23</v>
      </c>
      <c r="D8" s="180" t="s">
        <v>24</v>
      </c>
      <c r="E8" s="168">
        <v>0</v>
      </c>
      <c r="F8" s="141">
        <v>1</v>
      </c>
      <c r="G8" s="5">
        <v>10</v>
      </c>
    </row>
    <row r="9" spans="1:7" ht="29.45" customHeight="1" thickBot="1" x14ac:dyDescent="0.3">
      <c r="A9" s="175" t="s">
        <v>17</v>
      </c>
      <c r="B9" s="176" t="s">
        <v>25</v>
      </c>
      <c r="C9" s="176" t="s">
        <v>26</v>
      </c>
      <c r="D9" s="180" t="s">
        <v>27</v>
      </c>
      <c r="E9" s="168">
        <v>0</v>
      </c>
      <c r="F9" s="141">
        <v>1</v>
      </c>
      <c r="G9" s="5">
        <v>10</v>
      </c>
    </row>
    <row r="10" spans="1:7" ht="41.45" customHeight="1" thickBot="1" x14ac:dyDescent="0.3">
      <c r="A10" s="175" t="s">
        <v>18</v>
      </c>
      <c r="B10" s="176" t="s">
        <v>28</v>
      </c>
      <c r="C10" s="176" t="s">
        <v>29</v>
      </c>
      <c r="D10" s="180" t="s">
        <v>30</v>
      </c>
      <c r="E10" s="168">
        <v>0</v>
      </c>
      <c r="F10" s="141">
        <v>1</v>
      </c>
      <c r="G10" s="5">
        <v>10</v>
      </c>
    </row>
    <row r="11" spans="1:7" ht="32.450000000000003" customHeight="1" thickBot="1" x14ac:dyDescent="0.3">
      <c r="A11" s="175" t="s">
        <v>19</v>
      </c>
      <c r="B11" s="176" t="s">
        <v>31</v>
      </c>
      <c r="C11" s="176" t="s">
        <v>32</v>
      </c>
      <c r="D11" s="180" t="s">
        <v>33</v>
      </c>
      <c r="E11" s="168">
        <v>0</v>
      </c>
      <c r="F11" s="141">
        <v>1</v>
      </c>
      <c r="G11" s="5">
        <v>10</v>
      </c>
    </row>
    <row r="12" spans="1:7" ht="16.5" thickBot="1" x14ac:dyDescent="0.3">
      <c r="A12" s="175" t="s">
        <v>20</v>
      </c>
      <c r="B12" s="176" t="s">
        <v>34</v>
      </c>
      <c r="C12" s="176" t="s">
        <v>35</v>
      </c>
      <c r="D12" s="180" t="s">
        <v>36</v>
      </c>
      <c r="E12" s="168">
        <v>0</v>
      </c>
      <c r="F12" s="141">
        <v>1</v>
      </c>
      <c r="G12" s="5">
        <v>10</v>
      </c>
    </row>
    <row r="13" spans="1:7" ht="19.899999999999999" customHeight="1" thickBot="1" x14ac:dyDescent="0.3">
      <c r="A13" s="175" t="s">
        <v>21</v>
      </c>
      <c r="B13" s="176" t="s">
        <v>40</v>
      </c>
      <c r="C13" s="176" t="s">
        <v>38</v>
      </c>
      <c r="D13" s="180" t="s">
        <v>39</v>
      </c>
      <c r="E13" s="168">
        <v>0</v>
      </c>
      <c r="F13" s="141">
        <v>1</v>
      </c>
      <c r="G13" s="5">
        <v>10</v>
      </c>
    </row>
    <row r="14" spans="1:7" ht="16.5" thickBot="1" x14ac:dyDescent="0.3">
      <c r="A14" s="177">
        <v>9</v>
      </c>
      <c r="B14" s="176" t="s">
        <v>41</v>
      </c>
      <c r="C14" s="176" t="s">
        <v>42</v>
      </c>
      <c r="D14" s="180" t="s">
        <v>43</v>
      </c>
      <c r="E14" s="168">
        <v>0</v>
      </c>
      <c r="F14" s="141">
        <v>1</v>
      </c>
      <c r="G14" s="5">
        <v>10</v>
      </c>
    </row>
    <row r="15" spans="1:7" ht="26.25" thickBot="1" x14ac:dyDescent="0.3">
      <c r="A15" s="177">
        <v>10</v>
      </c>
      <c r="B15" s="176" t="s">
        <v>44</v>
      </c>
      <c r="C15" s="176" t="s">
        <v>45</v>
      </c>
      <c r="D15" s="180" t="s">
        <v>46</v>
      </c>
      <c r="E15" s="168">
        <v>0</v>
      </c>
      <c r="F15" s="141">
        <v>1</v>
      </c>
      <c r="G15" s="5">
        <v>10</v>
      </c>
    </row>
    <row r="16" spans="1:7" ht="19.149999999999999" customHeight="1" thickBot="1" x14ac:dyDescent="0.3">
      <c r="A16" s="177">
        <v>11</v>
      </c>
      <c r="B16" s="176" t="s">
        <v>47</v>
      </c>
      <c r="C16" s="176" t="s">
        <v>48</v>
      </c>
      <c r="D16" s="180" t="s">
        <v>49</v>
      </c>
      <c r="E16" s="168">
        <v>0</v>
      </c>
      <c r="F16" s="141">
        <v>1</v>
      </c>
      <c r="G16" s="5">
        <v>10</v>
      </c>
    </row>
    <row r="17" spans="1:10" ht="29.45" customHeight="1" x14ac:dyDescent="0.25">
      <c r="A17" s="175" t="s">
        <v>37</v>
      </c>
      <c r="B17" s="176" t="s">
        <v>50</v>
      </c>
      <c r="C17" s="176" t="s">
        <v>51</v>
      </c>
      <c r="D17" s="180" t="s">
        <v>52</v>
      </c>
      <c r="E17" s="168">
        <v>0</v>
      </c>
      <c r="F17" s="141">
        <v>1</v>
      </c>
      <c r="G17" s="5">
        <v>10</v>
      </c>
    </row>
    <row r="18" spans="1:10" ht="16.5" thickBot="1" x14ac:dyDescent="0.3">
      <c r="A18" s="33" t="s">
        <v>37</v>
      </c>
      <c r="B18" s="34"/>
      <c r="C18" s="34"/>
      <c r="D18" s="35" t="s">
        <v>58</v>
      </c>
      <c r="E18" s="169">
        <f>E6+E7+E8+E9+E10+E11+E12+E13+E14+E15+E16+E17</f>
        <v>0</v>
      </c>
      <c r="F18" s="171">
        <f t="shared" ref="F18" si="0">SUM(F6:F17)</f>
        <v>12</v>
      </c>
      <c r="G18" s="172">
        <f>SUM(G6:G17)/12</f>
        <v>10</v>
      </c>
    </row>
    <row r="19" spans="1:10" ht="12" customHeight="1" x14ac:dyDescent="0.25">
      <c r="A19" s="451"/>
      <c r="B19" s="451"/>
      <c r="C19" s="451"/>
      <c r="D19" s="451"/>
      <c r="E19" s="451"/>
      <c r="F19" s="451"/>
      <c r="G19" s="451"/>
      <c r="H19" s="178"/>
      <c r="I19" s="178"/>
      <c r="J19" s="178"/>
    </row>
    <row r="20" spans="1:10" ht="4.9000000000000004" customHeight="1" x14ac:dyDescent="0.25">
      <c r="A20" s="13"/>
      <c r="B20" s="13"/>
      <c r="C20" s="13"/>
      <c r="D20" s="13"/>
      <c r="E20" s="37"/>
      <c r="F20" s="15"/>
      <c r="G20" s="15"/>
    </row>
    <row r="21" spans="1:10" ht="15.75" x14ac:dyDescent="0.25">
      <c r="A21" s="391" t="s">
        <v>129</v>
      </c>
      <c r="B21" s="391"/>
      <c r="C21" s="391"/>
      <c r="D21" s="391"/>
      <c r="E21" s="391"/>
      <c r="F21" s="391"/>
      <c r="G21" s="391"/>
    </row>
    <row r="22" spans="1:10" ht="15.75" x14ac:dyDescent="0.25">
      <c r="A22" s="382"/>
      <c r="B22" s="383"/>
      <c r="C22" s="384"/>
      <c r="D22" s="15"/>
      <c r="E22" s="15"/>
      <c r="F22" s="15"/>
      <c r="G22" s="15"/>
    </row>
  </sheetData>
  <mergeCells count="5">
    <mergeCell ref="A22:C22"/>
    <mergeCell ref="A2:G2"/>
    <mergeCell ref="G4:G5"/>
    <mergeCell ref="A19:G19"/>
    <mergeCell ref="A21:G21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8</vt:i4>
      </vt:variant>
    </vt:vector>
  </HeadingPairs>
  <TitlesOfParts>
    <vt:vector size="26" baseType="lpstr">
      <vt:lpstr>1.1 Кач. планирования расходов</vt:lpstr>
      <vt:lpstr>1.2. Качество исполнения КП</vt:lpstr>
      <vt:lpstr>1.3. Доля неиспользованых БА</vt:lpstr>
      <vt:lpstr>1.4 Своевременность принятия БО</vt:lpstr>
      <vt:lpstr>1.5 Несоотв. расч-плат док</vt:lpstr>
      <vt:lpstr>1.6 Доля отклоненных ПГЗ</vt:lpstr>
      <vt:lpstr>1.7. Эффективность исп. МТ </vt:lpstr>
      <vt:lpstr>1.8. Эффект.управл. КЗ</vt:lpstr>
      <vt:lpstr>1.9. Налчие просроч.КЗ</vt:lpstr>
      <vt:lpstr>1.10 Приостановление операций</vt:lpstr>
      <vt:lpstr>2.1. Кач-во пл.пост.налог+ненал</vt:lpstr>
      <vt:lpstr>2.2. Качество администр. ост.</vt:lpstr>
      <vt:lpstr>2.3 Кач-во управ. просроч.ДЗ</vt:lpstr>
      <vt:lpstr>3.1 Степень достовер.отчет</vt:lpstr>
      <vt:lpstr>3.2 Нарушение треб. к бюдж.уч.</vt:lpstr>
      <vt:lpstr>4 Наличие на сайте ГМУ</vt:lpstr>
      <vt:lpstr>5 Управление активами</vt:lpstr>
      <vt:lpstr>ИТОГИ</vt:lpstr>
      <vt:lpstr>'1.2. Качество исполнения КП'!Заголовки_для_печати</vt:lpstr>
      <vt:lpstr>'1.1 Кач. планирования расходов'!Область_печати</vt:lpstr>
      <vt:lpstr>'1.10 Приостановление операций'!Область_печати</vt:lpstr>
      <vt:lpstr>'1.2. Качество исполнения КП'!Область_печати</vt:lpstr>
      <vt:lpstr>'1.3. Доля неиспользованых БА'!Область_печати</vt:lpstr>
      <vt:lpstr>'2.1. Кач-во пл.пост.налог+ненал'!Область_печати</vt:lpstr>
      <vt:lpstr>'4 Наличие на сайте ГМУ'!Область_печати</vt:lpstr>
      <vt:lpstr>ИТОГИ!Область_печати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Kirichenko</dc:creator>
  <cp:lastModifiedBy>Lebedeva</cp:lastModifiedBy>
  <cp:lastPrinted>2024-05-07T07:37:50Z</cp:lastPrinted>
  <dcterms:created xsi:type="dcterms:W3CDTF">2021-03-15T06:31:14Z</dcterms:created>
  <dcterms:modified xsi:type="dcterms:W3CDTF">2024-05-07T07:37:52Z</dcterms:modified>
</cp:coreProperties>
</file>