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42\общая\Бюджет\СЕССИИ 2023\ПРОЕКТ РЕШЕНИЯ О БЮДЖЕТЕ НА 2024-2026 ГОДЫ\В КСП\"/>
    </mc:Choice>
  </mc:AlternateContent>
  <bookViews>
    <workbookView xWindow="240" yWindow="180" windowWidth="16380" windowHeight="8070" tabRatio="464"/>
  </bookViews>
  <sheets>
    <sheet name="готов" sheetId="5" r:id="rId1"/>
    <sheet name="форма" sheetId="1" state="hidden" r:id="rId2"/>
    <sheet name="Лист1" sheetId="2" state="hidden" r:id="rId3"/>
  </sheets>
  <definedNames>
    <definedName name="_xlnm._FilterDatabase" localSheetId="0" hidden="1">готов!$A$12:$Q$275</definedName>
    <definedName name="Footer">форма!$A$13:$AW$20</definedName>
    <definedName name="Header">форма!$A$1:$AW$11</definedName>
    <definedName name="Row">форма!$A$12:$AW$12</definedName>
    <definedName name="_xlnm.Print_Titles" localSheetId="0">готов!$12:$12</definedName>
    <definedName name="_xlnm.Print_Area" localSheetId="0">готов!$A$1:$Q$283</definedName>
  </definedNames>
  <calcPr calcId="152511"/>
  <extLst>
    <ext uri="smNativeData">
      <pm:revision xmlns:pm="smNativeData" day="1542723978" rev="123" rev64="64" revOS="3" val="934"/>
      <pm:docPrefs xmlns:pm="smNativeData" autoChart="1" compatTextArt="1" finalRounding="1" fixedDigits="0" id="1542723978" printArea="currentSheet" recalcOnCopy="1" recalcOnPrint="1" showFrameBounds="1" showNotice="1" tab="567" useDefinedPrintRange="1"/>
      <pm:compatibility xmlns:pm="smNativeData" id="1542723978" overlapCells="1"/>
      <pm:defCurrency xmlns:pm="smNativeData" id="1542723978"/>
    </ext>
  </extLst>
</workbook>
</file>

<file path=xl/calcChain.xml><?xml version="1.0" encoding="utf-8"?>
<calcChain xmlns="http://schemas.openxmlformats.org/spreadsheetml/2006/main">
  <c r="L274" i="5" l="1"/>
  <c r="N274" i="5" s="1"/>
  <c r="L273" i="5"/>
  <c r="N273" i="5" s="1"/>
  <c r="N272" i="5"/>
  <c r="N271" i="5"/>
  <c r="L271" i="5"/>
  <c r="N270" i="5"/>
  <c r="L269" i="5"/>
  <c r="N269" i="5" s="1"/>
  <c r="L267" i="5"/>
  <c r="N267" i="5" s="1"/>
  <c r="Q266" i="5"/>
  <c r="P266" i="5"/>
  <c r="O266" i="5"/>
  <c r="M266" i="5"/>
  <c r="L266" i="5"/>
  <c r="Q265" i="5"/>
  <c r="P265" i="5"/>
  <c r="O265" i="5"/>
  <c r="M265" i="5"/>
  <c r="L265" i="5"/>
  <c r="N264" i="5"/>
  <c r="N263" i="5"/>
  <c r="N262" i="5" s="1"/>
  <c r="N261" i="5" s="1"/>
  <c r="N260" i="5" s="1"/>
  <c r="L263" i="5"/>
  <c r="Q262" i="5"/>
  <c r="P262" i="5"/>
  <c r="O262" i="5"/>
  <c r="M262" i="5"/>
  <c r="L262" i="5"/>
  <c r="Q261" i="5"/>
  <c r="P261" i="5"/>
  <c r="O261" i="5"/>
  <c r="M261" i="5"/>
  <c r="L261" i="5"/>
  <c r="Q260" i="5"/>
  <c r="P260" i="5"/>
  <c r="O260" i="5"/>
  <c r="M260" i="5"/>
  <c r="L260" i="5"/>
  <c r="N259" i="5"/>
  <c r="Q258" i="5"/>
  <c r="P258" i="5"/>
  <c r="O258" i="5"/>
  <c r="N258" i="5"/>
  <c r="M258" i="5"/>
  <c r="L258" i="5"/>
  <c r="Q257" i="5"/>
  <c r="P257" i="5"/>
  <c r="O257" i="5"/>
  <c r="N257" i="5"/>
  <c r="M257" i="5"/>
  <c r="L257" i="5"/>
  <c r="N256" i="5"/>
  <c r="N255" i="5"/>
  <c r="N254" i="5" s="1"/>
  <c r="L255" i="5"/>
  <c r="Q254" i="5"/>
  <c r="Q246" i="5" s="1"/>
  <c r="P254" i="5"/>
  <c r="O254" i="5"/>
  <c r="M254" i="5"/>
  <c r="M246" i="5" s="1"/>
  <c r="L254" i="5"/>
  <c r="N253" i="5"/>
  <c r="N252" i="5"/>
  <c r="N250" i="5"/>
  <c r="N249" i="5"/>
  <c r="O248" i="5"/>
  <c r="O247" i="5" s="1"/>
  <c r="O246" i="5" s="1"/>
  <c r="L248" i="5"/>
  <c r="N248" i="5" s="1"/>
  <c r="N247" i="5" s="1"/>
  <c r="N246" i="5" s="1"/>
  <c r="Q247" i="5"/>
  <c r="P247" i="5"/>
  <c r="M247" i="5"/>
  <c r="L247" i="5"/>
  <c r="P246" i="5"/>
  <c r="L246" i="5"/>
  <c r="N245" i="5"/>
  <c r="Q244" i="5"/>
  <c r="P244" i="5"/>
  <c r="O244" i="5"/>
  <c r="N244" i="5"/>
  <c r="M244" i="5"/>
  <c r="L244" i="5"/>
  <c r="N243" i="5"/>
  <c r="Q242" i="5"/>
  <c r="P242" i="5"/>
  <c r="O242" i="5"/>
  <c r="N242" i="5"/>
  <c r="M242" i="5"/>
  <c r="L242" i="5"/>
  <c r="N241" i="5"/>
  <c r="Q240" i="5"/>
  <c r="P240" i="5"/>
  <c r="O240" i="5"/>
  <c r="N240" i="5"/>
  <c r="M240" i="5"/>
  <c r="L240" i="5"/>
  <c r="N239" i="5"/>
  <c r="Q238" i="5"/>
  <c r="P238" i="5"/>
  <c r="O238" i="5"/>
  <c r="N238" i="5"/>
  <c r="M238" i="5"/>
  <c r="L238" i="5"/>
  <c r="N237" i="5"/>
  <c r="Q236" i="5"/>
  <c r="P236" i="5"/>
  <c r="O236" i="5"/>
  <c r="N236" i="5"/>
  <c r="M236" i="5"/>
  <c r="M229" i="5" s="1"/>
  <c r="L236" i="5"/>
  <c r="N235" i="5"/>
  <c r="N234" i="5"/>
  <c r="Q233" i="5"/>
  <c r="P233" i="5"/>
  <c r="O233" i="5"/>
  <c r="L233" i="5"/>
  <c r="N233" i="5" s="1"/>
  <c r="N232" i="5"/>
  <c r="Q231" i="5"/>
  <c r="Q230" i="5" s="1"/>
  <c r="Q229" i="5" s="1"/>
  <c r="P231" i="5"/>
  <c r="O231" i="5"/>
  <c r="O230" i="5" s="1"/>
  <c r="O229" i="5" s="1"/>
  <c r="L231" i="5"/>
  <c r="N231" i="5" s="1"/>
  <c r="N230" i="5" s="1"/>
  <c r="N229" i="5" s="1"/>
  <c r="P230" i="5"/>
  <c r="M230" i="5"/>
  <c r="L230" i="5"/>
  <c r="P229" i="5"/>
  <c r="L229" i="5"/>
  <c r="L228" i="5"/>
  <c r="N228" i="5" s="1"/>
  <c r="N227" i="5"/>
  <c r="N226" i="5"/>
  <c r="L226" i="5"/>
  <c r="O225" i="5"/>
  <c r="O224" i="5" s="1"/>
  <c r="L225" i="5"/>
  <c r="N225" i="5" s="1"/>
  <c r="Q224" i="5"/>
  <c r="P224" i="5"/>
  <c r="M224" i="5"/>
  <c r="L224" i="5"/>
  <c r="N223" i="5"/>
  <c r="Q222" i="5"/>
  <c r="P222" i="5"/>
  <c r="O222" i="5"/>
  <c r="N222" i="5"/>
  <c r="M222" i="5"/>
  <c r="L222" i="5"/>
  <c r="N221" i="5"/>
  <c r="Q220" i="5"/>
  <c r="P220" i="5"/>
  <c r="O220" i="5"/>
  <c r="N220" i="5"/>
  <c r="M220" i="5"/>
  <c r="L220" i="5"/>
  <c r="N219" i="5"/>
  <c r="Q218" i="5"/>
  <c r="P218" i="5"/>
  <c r="O218" i="5"/>
  <c r="N218" i="5"/>
  <c r="M218" i="5"/>
  <c r="L218" i="5"/>
  <c r="N217" i="5"/>
  <c r="Q216" i="5"/>
  <c r="P216" i="5"/>
  <c r="O216" i="5"/>
  <c r="N216" i="5"/>
  <c r="M216" i="5"/>
  <c r="L216" i="5"/>
  <c r="N215" i="5"/>
  <c r="Q214" i="5"/>
  <c r="Q211" i="5" s="1"/>
  <c r="P214" i="5"/>
  <c r="O214" i="5"/>
  <c r="N214" i="5"/>
  <c r="M214" i="5"/>
  <c r="M211" i="5" s="1"/>
  <c r="L214" i="5"/>
  <c r="N213" i="5"/>
  <c r="Q212" i="5"/>
  <c r="P212" i="5"/>
  <c r="O212" i="5"/>
  <c r="N212" i="5"/>
  <c r="M212" i="5"/>
  <c r="L212" i="5"/>
  <c r="P211" i="5"/>
  <c r="L211" i="5"/>
  <c r="N210" i="5"/>
  <c r="Q209" i="5"/>
  <c r="Q206" i="5" s="1"/>
  <c r="P209" i="5"/>
  <c r="O209" i="5"/>
  <c r="O206" i="5" s="1"/>
  <c r="N209" i="5"/>
  <c r="M209" i="5"/>
  <c r="M206" i="5" s="1"/>
  <c r="L209" i="5"/>
  <c r="N208" i="5"/>
  <c r="Q207" i="5"/>
  <c r="P207" i="5"/>
  <c r="O207" i="5"/>
  <c r="N207" i="5"/>
  <c r="M207" i="5"/>
  <c r="L207" i="5"/>
  <c r="P206" i="5"/>
  <c r="N206" i="5"/>
  <c r="L206" i="5"/>
  <c r="P205" i="5"/>
  <c r="L205" i="5"/>
  <c r="P204" i="5"/>
  <c r="L204" i="5"/>
  <c r="Q202" i="5"/>
  <c r="P202" i="5"/>
  <c r="O202" i="5"/>
  <c r="N202" i="5"/>
  <c r="M202" i="5"/>
  <c r="L202" i="5"/>
  <c r="Q200" i="5"/>
  <c r="P200" i="5"/>
  <c r="O200" i="5"/>
  <c r="N200" i="5"/>
  <c r="M200" i="5"/>
  <c r="L200" i="5"/>
  <c r="Q199" i="5"/>
  <c r="P199" i="5"/>
  <c r="O199" i="5"/>
  <c r="N199" i="5"/>
  <c r="M199" i="5"/>
  <c r="L199" i="5"/>
  <c r="Q196" i="5"/>
  <c r="P196" i="5"/>
  <c r="O196" i="5"/>
  <c r="N196" i="5"/>
  <c r="M196" i="5"/>
  <c r="L196" i="5"/>
  <c r="Q187" i="5"/>
  <c r="P187" i="5"/>
  <c r="O187" i="5"/>
  <c r="N187" i="5"/>
  <c r="M187" i="5"/>
  <c r="L187" i="5"/>
  <c r="Q185" i="5"/>
  <c r="P185" i="5"/>
  <c r="O185" i="5"/>
  <c r="N185" i="5"/>
  <c r="M185" i="5"/>
  <c r="L185" i="5"/>
  <c r="Q183" i="5"/>
  <c r="P183" i="5"/>
  <c r="O183" i="5"/>
  <c r="N183" i="5"/>
  <c r="M183" i="5"/>
  <c r="L183" i="5"/>
  <c r="Q182" i="5"/>
  <c r="P182" i="5"/>
  <c r="O182" i="5"/>
  <c r="N182" i="5"/>
  <c r="M182" i="5"/>
  <c r="L182" i="5"/>
  <c r="Q180" i="5"/>
  <c r="P180" i="5"/>
  <c r="O180" i="5"/>
  <c r="N180" i="5"/>
  <c r="M180" i="5"/>
  <c r="L180" i="5"/>
  <c r="L178" i="5"/>
  <c r="Q177" i="5"/>
  <c r="P177" i="5"/>
  <c r="O177" i="5"/>
  <c r="N177" i="5"/>
  <c r="M177" i="5"/>
  <c r="L177" i="5"/>
  <c r="Q170" i="5"/>
  <c r="P170" i="5"/>
  <c r="O170" i="5"/>
  <c r="N170" i="5"/>
  <c r="M170" i="5"/>
  <c r="L170" i="5"/>
  <c r="Q169" i="5"/>
  <c r="P169" i="5"/>
  <c r="O169" i="5"/>
  <c r="N169" i="5"/>
  <c r="M169" i="5"/>
  <c r="L169" i="5"/>
  <c r="L167" i="5"/>
  <c r="Q166" i="5"/>
  <c r="P166" i="5"/>
  <c r="O166" i="5"/>
  <c r="N166" i="5"/>
  <c r="M166" i="5"/>
  <c r="L166" i="5"/>
  <c r="L163" i="5"/>
  <c r="Q162" i="5"/>
  <c r="P162" i="5"/>
  <c r="O162" i="5"/>
  <c r="N162" i="5"/>
  <c r="M162" i="5"/>
  <c r="L162" i="5"/>
  <c r="Q160" i="5"/>
  <c r="P160" i="5"/>
  <c r="O160" i="5"/>
  <c r="N160" i="5"/>
  <c r="M160" i="5"/>
  <c r="L160" i="5"/>
  <c r="L159" i="5"/>
  <c r="Q158" i="5"/>
  <c r="P158" i="5"/>
  <c r="O158" i="5"/>
  <c r="N158" i="5"/>
  <c r="M158" i="5"/>
  <c r="L158" i="5"/>
  <c r="L157" i="5"/>
  <c r="Q156" i="5"/>
  <c r="P156" i="5"/>
  <c r="O156" i="5"/>
  <c r="N156" i="5"/>
  <c r="M156" i="5"/>
  <c r="L156" i="5"/>
  <c r="L155" i="5"/>
  <c r="Q154" i="5"/>
  <c r="P154" i="5"/>
  <c r="O154" i="5"/>
  <c r="N154" i="5"/>
  <c r="M154" i="5"/>
  <c r="L154" i="5"/>
  <c r="Q152" i="5"/>
  <c r="P152" i="5"/>
  <c r="O152" i="5"/>
  <c r="N152" i="5"/>
  <c r="M152" i="5"/>
  <c r="L152" i="5"/>
  <c r="Q150" i="5"/>
  <c r="P150" i="5"/>
  <c r="O150" i="5"/>
  <c r="N150" i="5"/>
  <c r="M150" i="5"/>
  <c r="L150" i="5"/>
  <c r="Q148" i="5"/>
  <c r="P148" i="5"/>
  <c r="O148" i="5"/>
  <c r="N148" i="5"/>
  <c r="M148" i="5"/>
  <c r="L148" i="5"/>
  <c r="Q146" i="5"/>
  <c r="P146" i="5"/>
  <c r="O146" i="5"/>
  <c r="N146" i="5"/>
  <c r="M146" i="5"/>
  <c r="L146" i="5"/>
  <c r="L145" i="5"/>
  <c r="Q144" i="5"/>
  <c r="P144" i="5"/>
  <c r="O144" i="5"/>
  <c r="N144" i="5"/>
  <c r="M144" i="5"/>
  <c r="L144" i="5"/>
  <c r="L141" i="5"/>
  <c r="Q140" i="5"/>
  <c r="P140" i="5"/>
  <c r="O140" i="5"/>
  <c r="N140" i="5"/>
  <c r="M140" i="5"/>
  <c r="L140" i="5"/>
  <c r="L138" i="5"/>
  <c r="Q137" i="5"/>
  <c r="Q133" i="5" s="1"/>
  <c r="Q132" i="5" s="1"/>
  <c r="Q13" i="5" s="1"/>
  <c r="P137" i="5"/>
  <c r="O137" i="5"/>
  <c r="O133" i="5" s="1"/>
  <c r="O132" i="5" s="1"/>
  <c r="O13" i="5" s="1"/>
  <c r="N137" i="5"/>
  <c r="M137" i="5"/>
  <c r="M133" i="5" s="1"/>
  <c r="M132" i="5" s="1"/>
  <c r="M13" i="5" s="1"/>
  <c r="L137" i="5"/>
  <c r="L135" i="5"/>
  <c r="Q134" i="5"/>
  <c r="P134" i="5"/>
  <c r="O134" i="5"/>
  <c r="N134" i="5"/>
  <c r="M134" i="5"/>
  <c r="L134" i="5"/>
  <c r="P133" i="5"/>
  <c r="N133" i="5"/>
  <c r="L133" i="5"/>
  <c r="P132" i="5"/>
  <c r="N132" i="5"/>
  <c r="L132" i="5"/>
  <c r="Q129" i="5"/>
  <c r="P129" i="5"/>
  <c r="O129" i="5"/>
  <c r="N129" i="5"/>
  <c r="M129" i="5"/>
  <c r="L129" i="5"/>
  <c r="Q128" i="5"/>
  <c r="P128" i="5"/>
  <c r="O128" i="5"/>
  <c r="N128" i="5"/>
  <c r="M128" i="5"/>
  <c r="L128" i="5"/>
  <c r="Q125" i="5"/>
  <c r="P125" i="5"/>
  <c r="O125" i="5"/>
  <c r="N125" i="5"/>
  <c r="M125" i="5"/>
  <c r="L125" i="5"/>
  <c r="Q124" i="5"/>
  <c r="P124" i="5"/>
  <c r="O124" i="5"/>
  <c r="N124" i="5"/>
  <c r="M124" i="5"/>
  <c r="L124" i="5"/>
  <c r="Q122" i="5"/>
  <c r="P122" i="5"/>
  <c r="O122" i="5"/>
  <c r="N122" i="5"/>
  <c r="M122" i="5"/>
  <c r="L122" i="5"/>
  <c r="Q119" i="5"/>
  <c r="P119" i="5"/>
  <c r="O119" i="5"/>
  <c r="N119" i="5"/>
  <c r="M119" i="5"/>
  <c r="L119" i="5"/>
  <c r="Q118" i="5"/>
  <c r="P118" i="5"/>
  <c r="O118" i="5"/>
  <c r="N118" i="5"/>
  <c r="M118" i="5"/>
  <c r="L118" i="5"/>
  <c r="Q117" i="5"/>
  <c r="P117" i="5"/>
  <c r="P13" i="5" s="1"/>
  <c r="P275" i="5" s="1"/>
  <c r="O117" i="5"/>
  <c r="N117" i="5"/>
  <c r="N13" i="5" s="1"/>
  <c r="M117" i="5"/>
  <c r="L117" i="5"/>
  <c r="N116" i="5"/>
  <c r="L116" i="5"/>
  <c r="N112" i="5"/>
  <c r="L112" i="5"/>
  <c r="N111" i="5"/>
  <c r="L111" i="5"/>
  <c r="L107" i="5" s="1"/>
  <c r="L104" i="5" s="1"/>
  <c r="L97" i="5" s="1"/>
  <c r="L13" i="5" s="1"/>
  <c r="L275" i="5" s="1"/>
  <c r="N108" i="5"/>
  <c r="Q107" i="5"/>
  <c r="P107" i="5"/>
  <c r="O107" i="5"/>
  <c r="N107" i="5"/>
  <c r="M107" i="5"/>
  <c r="Q105" i="5"/>
  <c r="P105" i="5"/>
  <c r="O105" i="5"/>
  <c r="N105" i="5"/>
  <c r="M105" i="5"/>
  <c r="L105" i="5"/>
  <c r="Q104" i="5"/>
  <c r="P104" i="5"/>
  <c r="O104" i="5"/>
  <c r="N104" i="5"/>
  <c r="M104" i="5"/>
  <c r="Q103" i="5"/>
  <c r="P103" i="5"/>
  <c r="O103" i="5"/>
  <c r="N103" i="5"/>
  <c r="Q102" i="5"/>
  <c r="P102" i="5"/>
  <c r="O102" i="5"/>
  <c r="N102" i="5"/>
  <c r="Q101" i="5"/>
  <c r="P101" i="5"/>
  <c r="O101" i="5"/>
  <c r="N101" i="5"/>
  <c r="M101" i="5"/>
  <c r="L101" i="5"/>
  <c r="Q99" i="5"/>
  <c r="P99" i="5"/>
  <c r="O99" i="5"/>
  <c r="N99" i="5"/>
  <c r="M99" i="5"/>
  <c r="L99" i="5"/>
  <c r="Q98" i="5"/>
  <c r="P98" i="5"/>
  <c r="O98" i="5"/>
  <c r="N98" i="5"/>
  <c r="M98" i="5"/>
  <c r="L98" i="5"/>
  <c r="Q97" i="5"/>
  <c r="P97" i="5"/>
  <c r="O97" i="5"/>
  <c r="N97" i="5"/>
  <c r="M97" i="5"/>
  <c r="Q94" i="5"/>
  <c r="P94" i="5"/>
  <c r="O94" i="5"/>
  <c r="N94" i="5"/>
  <c r="M94" i="5"/>
  <c r="L94" i="5"/>
  <c r="Q91" i="5"/>
  <c r="P91" i="5"/>
  <c r="O91" i="5"/>
  <c r="N91" i="5"/>
  <c r="M91" i="5"/>
  <c r="L91" i="5"/>
  <c r="Q90" i="5"/>
  <c r="P90" i="5"/>
  <c r="O90" i="5"/>
  <c r="N90" i="5"/>
  <c r="M90" i="5"/>
  <c r="L90" i="5"/>
  <c r="Q89" i="5"/>
  <c r="P89" i="5"/>
  <c r="O89" i="5"/>
  <c r="N89" i="5"/>
  <c r="Q88" i="5"/>
  <c r="P88" i="5"/>
  <c r="O88" i="5"/>
  <c r="N88" i="5"/>
  <c r="M88" i="5"/>
  <c r="L88" i="5"/>
  <c r="Q87" i="5"/>
  <c r="P87" i="5"/>
  <c r="Q86" i="5"/>
  <c r="P86" i="5"/>
  <c r="O86" i="5"/>
  <c r="N86" i="5"/>
  <c r="M86" i="5"/>
  <c r="L86" i="5"/>
  <c r="Q85" i="5"/>
  <c r="P85" i="5"/>
  <c r="O85" i="5"/>
  <c r="N85" i="5"/>
  <c r="M85" i="5"/>
  <c r="L85" i="5"/>
  <c r="Q83" i="5"/>
  <c r="P83" i="5"/>
  <c r="O83" i="5"/>
  <c r="N83" i="5"/>
  <c r="M83" i="5"/>
  <c r="L83" i="5"/>
  <c r="Q82" i="5"/>
  <c r="P82" i="5"/>
  <c r="O82" i="5"/>
  <c r="N82" i="5"/>
  <c r="M82" i="5"/>
  <c r="L82" i="5"/>
  <c r="Q79" i="5"/>
  <c r="P79" i="5"/>
  <c r="O79" i="5"/>
  <c r="N79" i="5"/>
  <c r="M79" i="5"/>
  <c r="L79" i="5"/>
  <c r="Q78" i="5"/>
  <c r="P78" i="5"/>
  <c r="O78" i="5"/>
  <c r="N78" i="5"/>
  <c r="M78" i="5"/>
  <c r="L78" i="5"/>
  <c r="Q76" i="5"/>
  <c r="P76" i="5"/>
  <c r="O76" i="5"/>
  <c r="N76" i="5"/>
  <c r="M76" i="5"/>
  <c r="L76" i="5"/>
  <c r="Q74" i="5"/>
  <c r="P74" i="5"/>
  <c r="O74" i="5"/>
  <c r="N74" i="5"/>
  <c r="M74" i="5"/>
  <c r="L74" i="5"/>
  <c r="Q72" i="5"/>
  <c r="P72" i="5"/>
  <c r="O72" i="5"/>
  <c r="N72" i="5"/>
  <c r="M72" i="5"/>
  <c r="L72" i="5"/>
  <c r="Q69" i="5"/>
  <c r="P69" i="5"/>
  <c r="O69" i="5"/>
  <c r="N69" i="5"/>
  <c r="M69" i="5"/>
  <c r="L69" i="5"/>
  <c r="Q68" i="5"/>
  <c r="P68" i="5"/>
  <c r="O68" i="5"/>
  <c r="N68" i="5"/>
  <c r="M68" i="5"/>
  <c r="L68" i="5"/>
  <c r="Q66" i="5"/>
  <c r="P66" i="5"/>
  <c r="O66" i="5"/>
  <c r="N66" i="5"/>
  <c r="M66" i="5"/>
  <c r="L66" i="5"/>
  <c r="Q65" i="5"/>
  <c r="P65" i="5"/>
  <c r="O65" i="5"/>
  <c r="N65" i="5"/>
  <c r="M65" i="5"/>
  <c r="L65" i="5"/>
  <c r="Q63" i="5"/>
  <c r="P63" i="5"/>
  <c r="O63" i="5"/>
  <c r="N63" i="5"/>
  <c r="M63" i="5"/>
  <c r="L63" i="5"/>
  <c r="Q62" i="5"/>
  <c r="P62" i="5"/>
  <c r="O62" i="5"/>
  <c r="N62" i="5"/>
  <c r="M62" i="5"/>
  <c r="L62" i="5"/>
  <c r="Q61" i="5"/>
  <c r="P61" i="5"/>
  <c r="O61" i="5"/>
  <c r="N61" i="5"/>
  <c r="M61" i="5"/>
  <c r="L61" i="5"/>
  <c r="Q59" i="5"/>
  <c r="P59" i="5"/>
  <c r="O59" i="5"/>
  <c r="N59" i="5"/>
  <c r="M59" i="5"/>
  <c r="L59" i="5"/>
  <c r="Q57" i="5"/>
  <c r="P57" i="5"/>
  <c r="O57" i="5"/>
  <c r="N57" i="5"/>
  <c r="M57" i="5"/>
  <c r="L57" i="5"/>
  <c r="Q56" i="5"/>
  <c r="P56" i="5"/>
  <c r="O56" i="5"/>
  <c r="N56" i="5"/>
  <c r="M56" i="5"/>
  <c r="L56" i="5"/>
  <c r="Q53" i="5"/>
  <c r="P53" i="5"/>
  <c r="O53" i="5"/>
  <c r="N53" i="5"/>
  <c r="M53" i="5"/>
  <c r="L53" i="5"/>
  <c r="Q52" i="5"/>
  <c r="P52" i="5"/>
  <c r="O52" i="5"/>
  <c r="N52" i="5"/>
  <c r="M52" i="5"/>
  <c r="L52" i="5"/>
  <c r="Q50" i="5"/>
  <c r="P50" i="5"/>
  <c r="O50" i="5"/>
  <c r="N50" i="5"/>
  <c r="M50" i="5"/>
  <c r="L50" i="5"/>
  <c r="Q48" i="5"/>
  <c r="P48" i="5"/>
  <c r="O48" i="5"/>
  <c r="N48" i="5"/>
  <c r="M48" i="5"/>
  <c r="L48" i="5"/>
  <c r="Q45" i="5"/>
  <c r="P45" i="5"/>
  <c r="O45" i="5"/>
  <c r="N45" i="5"/>
  <c r="M45" i="5"/>
  <c r="L45" i="5"/>
  <c r="Q43" i="5"/>
  <c r="P43" i="5"/>
  <c r="O43" i="5"/>
  <c r="N43" i="5"/>
  <c r="M43" i="5"/>
  <c r="L43" i="5"/>
  <c r="Q41" i="5"/>
  <c r="P41" i="5"/>
  <c r="O41" i="5"/>
  <c r="N41" i="5"/>
  <c r="M41" i="5"/>
  <c r="L41" i="5"/>
  <c r="Q40" i="5"/>
  <c r="P40" i="5"/>
  <c r="O40" i="5"/>
  <c r="N40" i="5"/>
  <c r="M40" i="5"/>
  <c r="L40" i="5"/>
  <c r="Q39" i="5"/>
  <c r="P39" i="5"/>
  <c r="O39" i="5"/>
  <c r="N39" i="5"/>
  <c r="M39" i="5"/>
  <c r="L39" i="5"/>
  <c r="Q37" i="5"/>
  <c r="P37" i="5"/>
  <c r="O37" i="5"/>
  <c r="N37" i="5"/>
  <c r="M37" i="5"/>
  <c r="L37" i="5"/>
  <c r="Q35" i="5"/>
  <c r="P35" i="5"/>
  <c r="O35" i="5"/>
  <c r="N35" i="5"/>
  <c r="M35" i="5"/>
  <c r="L35" i="5"/>
  <c r="Q33" i="5"/>
  <c r="P33" i="5"/>
  <c r="O33" i="5"/>
  <c r="N33" i="5"/>
  <c r="M33" i="5"/>
  <c r="L33" i="5"/>
  <c r="Q31" i="5"/>
  <c r="P31" i="5"/>
  <c r="O31" i="5"/>
  <c r="N31" i="5"/>
  <c r="M31" i="5"/>
  <c r="L31" i="5"/>
  <c r="Q30" i="5"/>
  <c r="P30" i="5"/>
  <c r="O30" i="5"/>
  <c r="N30" i="5"/>
  <c r="M30" i="5"/>
  <c r="L30" i="5"/>
  <c r="Q29" i="5"/>
  <c r="P29" i="5"/>
  <c r="O29" i="5"/>
  <c r="N29" i="5"/>
  <c r="M29" i="5"/>
  <c r="L29" i="5"/>
  <c r="Q19" i="5"/>
  <c r="P19" i="5"/>
  <c r="O19" i="5"/>
  <c r="N19" i="5"/>
  <c r="M19" i="5"/>
  <c r="L19" i="5"/>
  <c r="Q15" i="5"/>
  <c r="P15" i="5"/>
  <c r="O15" i="5"/>
  <c r="N15" i="5"/>
  <c r="M15" i="5"/>
  <c r="L15" i="5"/>
  <c r="Q14" i="5"/>
  <c r="P14" i="5"/>
  <c r="O14" i="5"/>
  <c r="N14" i="5"/>
  <c r="M14" i="5"/>
  <c r="L14" i="5"/>
  <c r="M275" i="5" l="1"/>
  <c r="Q275" i="5"/>
  <c r="M205" i="5"/>
  <c r="M204" i="5" s="1"/>
  <c r="Q205" i="5"/>
  <c r="Q204" i="5" s="1"/>
  <c r="O211" i="5"/>
  <c r="O205" i="5" s="1"/>
  <c r="O204" i="5" s="1"/>
  <c r="O275" i="5" s="1"/>
  <c r="N224" i="5"/>
  <c r="N211" i="5" s="1"/>
  <c r="N205" i="5" s="1"/>
  <c r="N266" i="5"/>
  <c r="N265" i="5" s="1"/>
  <c r="N204" i="5" l="1"/>
  <c r="N275" i="5" s="1"/>
  <c r="A17" i="2" l="1"/>
</calcChain>
</file>

<file path=xl/sharedStrings.xml><?xml version="1.0" encoding="utf-8"?>
<sst xmlns="http://schemas.openxmlformats.org/spreadsheetml/2006/main" count="2890" uniqueCount="572">
  <si>
    <t>СВЕДЕНИЯ
для формирования Реестра источников доходов бюджета</t>
  </si>
  <si>
    <t>Бюджет</t>
  </si>
  <si>
    <t>&lt;Budget&gt;</t>
  </si>
  <si>
    <t>ГАДБ</t>
  </si>
  <si>
    <t>&lt;gadb&gt;</t>
  </si>
  <si>
    <t>Этап</t>
  </si>
  <si>
    <t>&lt;stage&gt;</t>
  </si>
  <si>
    <t>рублей</t>
  </si>
  <si>
    <t>№ п/п</t>
  </si>
  <si>
    <t>Код классификации доходов бюджетов</t>
  </si>
  <si>
    <t>Наименование кодов классификации доходов бюджетов</t>
  </si>
  <si>
    <t>Главный администратор доходов краевого бюджета</t>
  </si>
  <si>
    <t>Нормативы распределения доходов в краевой бюджет</t>
  </si>
  <si>
    <t>Показатели прогноза доходов на текущий год в соответствии с законом об краевом бюджете</t>
  </si>
  <si>
    <t>Показатели кассовых поступлений в краевой бюджет в текущем  году (по состоянию на дату " "___ ___ г.)</t>
  </si>
  <si>
    <t>Оценка исполнения краевого бюджета на текущий год</t>
  </si>
  <si>
    <t>Показатели прогноза доходов краевого бюджета</t>
  </si>
  <si>
    <t>Показатели прогноза доходов краевого бюджета в соответствии с Законом о бюджете</t>
  </si>
  <si>
    <t>Показатели прогноза доходов краевого бюджета с учетом изменений в Законе</t>
  </si>
  <si>
    <t>Показатели в соответствие с кассовым планом</t>
  </si>
  <si>
    <t>Факт</t>
  </si>
  <si>
    <t>Код вида доходов бюджетов</t>
  </si>
  <si>
    <t>Код подвида доходов бюджетов</t>
  </si>
  <si>
    <t>на очередной финансовый год</t>
  </si>
  <si>
    <t>на первый год планового периода</t>
  </si>
  <si>
    <t>на второй год планового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</si>
  <si>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</si>
  <si>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</si>
  <si>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</si>
  <si>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</si>
  <si>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</si>
  <si>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</si>
  <si>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</si>
  <si>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</si>
  <si>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</si>
  <si>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</si>
  <si>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</si>
  <si>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</si>
  <si>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</si>
  <si>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</si>
  <si>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</si>
  <si>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</si>
  <si>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</si>
  <si>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</si>
  <si>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</si>
  <si>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код</t>
  </si>
  <si>
    <t>наименование</t>
  </si>
  <si>
    <t>&lt;counter1&gt;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</si>
  <si>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</si>
  <si>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</si>
  <si>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</si>
  <si>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</si>
  <si>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</si>
  <si>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</si>
  <si>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</si>
  <si>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</si>
  <si>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&lt;gadbCode&gt;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</si>
  <si>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</si>
  <si>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</si>
  <si>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</si>
  <si>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</si>
  <si>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</si>
  <si>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</si>
  <si>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</si>
  <si>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&lt;forecastForLawPrevYear&gt;</t>
  </si>
  <si>
    <t>&lt;forecastForLawCurrYear&gt;</t>
  </si>
  <si>
    <t>&lt;forecastForLawFirstNextYear&gt;</t>
  </si>
  <si>
    <t>&lt;forecastForLawChangesPrevYear&gt;</t>
  </si>
  <si>
    <t>&lt;forecastForLawChangesCurrYear&gt;</t>
  </si>
  <si>
    <t>&lt;forecastForLawChangesFirstNextYear&gt;</t>
  </si>
  <si>
    <t>&lt;forecastForCashPlan1&gt;</t>
  </si>
  <si>
    <t>&lt;forecastForCashPlan2&gt;</t>
  </si>
  <si>
    <t>&lt;forecastForCashPlan3&gt;</t>
  </si>
  <si>
    <t>&lt;forecastForCashPlan4&gt;</t>
  </si>
  <si>
    <t>&lt;forecastForCashPlan5&gt;</t>
  </si>
  <si>
    <t>&lt;forecastForCashPlan6&gt;</t>
  </si>
  <si>
    <t>&lt;forecastForCashPlan7&gt;</t>
  </si>
  <si>
    <t>&lt;forecastForCashPlan8&gt;</t>
  </si>
  <si>
    <t>&lt;forecastForCashPlan9&gt;</t>
  </si>
  <si>
    <t>&lt;forecastForCashPlan10&gt;</t>
  </si>
  <si>
    <t>&lt;forecastForCashPlan11&gt;</t>
  </si>
  <si>
    <t>&lt;forecastForCashPlan12&gt;</t>
  </si>
  <si>
    <t>&lt;cashReceipts1&gt;</t>
  </si>
  <si>
    <t>&lt;cashReceipts2&gt;</t>
  </si>
  <si>
    <t>&lt;cashReceipts3&gt;</t>
  </si>
  <si>
    <t>&lt;cashReceipts4&gt;</t>
  </si>
  <si>
    <t>&lt;cashReceipts5&gt;</t>
  </si>
  <si>
    <t>&lt;cashReceipts6&gt;</t>
  </si>
  <si>
    <t>&lt;cashReceipts7&gt;</t>
  </si>
  <si>
    <t>&lt;cashReceipts8&gt;</t>
  </si>
  <si>
    <t>&lt;cashReceipts9&gt;</t>
  </si>
  <si>
    <t>&lt;cashReceipts10&gt;</t>
  </si>
  <si>
    <t>&lt;cashReceipts11&gt;</t>
  </si>
  <si>
    <t>&lt;cashReceipts12&gt;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</si>
  <si>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</si>
  <si>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</si>
  <si>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</si>
  <si>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</si>
  <si>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</si>
  <si>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</si>
  <si>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</si>
  <si>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&lt;forecastForLawPrevYearTotal&gt;</t>
  </si>
  <si>
    <t>&lt;forecastForLawCurrYearTotal&gt;</t>
  </si>
  <si>
    <t>&lt;forecastForLawFirstNextYearTotal&gt;</t>
  </si>
  <si>
    <t>&lt;forecastForLawChangesPrevYearTotal&gt;</t>
  </si>
  <si>
    <t>&lt;forecastForLawChangesCurrYearTotal&gt;</t>
  </si>
  <si>
    <t>&lt;forecastForLawChangesFirstNextYearTotal&gt;</t>
  </si>
  <si>
    <t>&lt;forecastForCashPlan1Total&gt;</t>
  </si>
  <si>
    <t>&lt;forecastForCashPlan2Total&gt;</t>
  </si>
  <si>
    <t>&lt;forecastForCashPlan3Total&gt;</t>
  </si>
  <si>
    <t>&lt;forecastForCashPlan4Total&gt;</t>
  </si>
  <si>
    <t>&lt;forecastForCashPlan5Total&gt;</t>
  </si>
  <si>
    <t>&lt;forecastForCashPlan6Total&gt;</t>
  </si>
  <si>
    <t>&lt;forecastForCashPlan7Total&gt;</t>
  </si>
  <si>
    <t>&lt;forecastForCashPlan8Total&gt;</t>
  </si>
  <si>
    <t>&lt;forecastForCashPlan9Total&gt;</t>
  </si>
  <si>
    <t>&lt;forecastForCashPlan10Total&gt;</t>
  </si>
  <si>
    <t>&lt;forecastForCashPlan11Total&gt;</t>
  </si>
  <si>
    <t>&lt;forecastForCashPlan12Total&gt;</t>
  </si>
  <si>
    <t>&lt;cashReceipts1Total&gt;</t>
  </si>
  <si>
    <t>&lt;cashReceipts2Total&gt;</t>
  </si>
  <si>
    <t>&lt;cashReceipts3Total&gt;</t>
  </si>
  <si>
    <t>&lt;cashReceipts4Total&gt;</t>
  </si>
  <si>
    <t>&lt;cashReceipts5Total&gt;</t>
  </si>
  <si>
    <t>&lt;cashReceipts6Total&gt;</t>
  </si>
  <si>
    <t>&lt;cashReceipts7Total&gt;</t>
  </si>
  <si>
    <t>&lt;cashReceipts8Total&gt;</t>
  </si>
  <si>
    <t>&lt;cashReceipts9Total&gt;</t>
  </si>
  <si>
    <t>&lt;cashReceipts10Total&gt;</t>
  </si>
  <si>
    <t>&lt;cashReceipts11Total&gt;</t>
  </si>
  <si>
    <t>&lt;cashReceipts12Total&gt;</t>
  </si>
  <si>
    <t>Руководитель (уполномоченное лицо)</t>
  </si>
  <si>
    <t>_______________</t>
  </si>
  <si>
    <t>(подпись)</t>
  </si>
  <si>
    <t>(ФИО)</t>
  </si>
  <si>
    <t>Исполнитель</t>
  </si>
  <si>
    <t>"___"______________20____ года</t>
  </si>
  <si>
    <t>____________________________    20____ года</t>
  </si>
  <si>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</si>
  <si>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</si>
  <si>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</si>
  <si>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</si>
  <si>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</si>
  <si>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</si>
  <si>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</si>
  <si>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</si>
  <si>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</si>
  <si>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</si>
  <si>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Наименование группы источников доходов бюджетов /наименование источника дохода бюджета</t>
  </si>
  <si>
    <t>Код классификации доход бюджетов</t>
  </si>
  <si>
    <t>Наименование кода классификации доходов бюджетов</t>
  </si>
  <si>
    <t>Наименование главного администратора доходов краевого бюджета</t>
  </si>
  <si>
    <t>Показатели прогноза доходов в 2017 году в соответствии с законом о краевом бюджете</t>
  </si>
  <si>
    <t>Показатели кассовых поступлений в 2017 году в краевой бюджет</t>
  </si>
  <si>
    <t>Оценка исполнения 2017 года</t>
  </si>
  <si>
    <t>Показатели прогноза доходов краевого бюджета на 2018 год</t>
  </si>
  <si>
    <t>Показатели прогноза доходов краевого бюджета на 2019 год</t>
  </si>
  <si>
    <t>Показатели прогноза доходов краевого бюджета на 2020 год</t>
  </si>
  <si>
    <t>Код главного администратора доходов краевого бюджета</t>
  </si>
  <si>
    <t>код вида доходов бюджета</t>
  </si>
  <si>
    <t>код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</si>
  <si>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</si>
  <si>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</si>
  <si>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</si>
  <si>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</si>
  <si>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</si>
  <si>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</si>
  <si>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</si>
  <si>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</si>
  <si>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</si>
  <si>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</si>
  <si>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</si>
  <si>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</si>
  <si>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Руководитель</t>
  </si>
  <si>
    <t>(уполномоченное лицо)</t>
  </si>
  <si>
    <t>(должность)</t>
  </si>
  <si>
    <t>"______"    ____________________________    20____   г.</t>
  </si>
  <si>
    <t>Темрюкский район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</si>
  <si>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</si>
  <si>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</si>
  <si>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</si>
  <si>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</si>
  <si>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</si>
  <si>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</si>
  <si>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</si>
  <si>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</si>
  <si>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</si>
  <si>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</si>
  <si>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</si>
  <si>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</si>
  <si>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182</t>
  </si>
  <si>
    <t>Налог на доходы физических лиц</t>
  </si>
  <si>
    <t>020</t>
  </si>
  <si>
    <t>030</t>
  </si>
  <si>
    <t>040</t>
  </si>
  <si>
    <t>050</t>
  </si>
  <si>
    <t>03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</si>
  <si>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</si>
  <si>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</si>
  <si>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</si>
  <si>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</si>
  <si>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</si>
  <si>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</si>
  <si>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</si>
  <si>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</si>
  <si>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</si>
  <si>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</si>
  <si>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</si>
  <si>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</si>
  <si>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</si>
  <si>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</si>
  <si>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</si>
  <si>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</si>
  <si>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</si>
  <si>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</si>
  <si>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</si>
  <si>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Единый налог на вмененный доход для отдельных видов деятельности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</si>
  <si>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</si>
  <si>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</si>
  <si>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</si>
  <si>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06</t>
  </si>
  <si>
    <t>Налоги на имущество</t>
  </si>
  <si>
    <t>Налог на имущество организаций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</si>
  <si>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</si>
  <si>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</si>
  <si>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</si>
  <si>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188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</si>
  <si>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</si>
  <si>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</si>
  <si>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150</t>
  </si>
  <si>
    <t>902</t>
  </si>
  <si>
    <t>170</t>
  </si>
  <si>
    <t>09</t>
  </si>
  <si>
    <t>053</t>
  </si>
  <si>
    <t>Доходы от использования имущества, находящегося в государственной и муниципальной собственности</t>
  </si>
  <si>
    <t>120</t>
  </si>
  <si>
    <t>080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</si>
  <si>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</si>
  <si>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</si>
  <si>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</si>
  <si>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</si>
  <si>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</si>
  <si>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992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</si>
  <si>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</si>
  <si>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</si>
  <si>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035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</si>
  <si>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</si>
  <si>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</si>
  <si>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</si>
  <si>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</si>
  <si>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</si>
  <si>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</si>
  <si>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</si>
  <si>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</si>
  <si>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</si>
  <si>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</si>
  <si>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</si>
  <si>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</si>
  <si>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</si>
  <si>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</si>
  <si>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</si>
  <si>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</si>
  <si>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Платежи при пользовании природными ресурсами</t>
  </si>
  <si>
    <t>Плата за негативное воздействие на окружающую среду</t>
  </si>
  <si>
    <t>048</t>
  </si>
  <si>
    <t>Плата за размещение отходов производства и потребления</t>
  </si>
  <si>
    <t>041</t>
  </si>
  <si>
    <t>042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</si>
  <si>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</si>
  <si>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</si>
  <si>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</si>
  <si>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Доходы от оказания информационных услуг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</si>
  <si>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</si>
  <si>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</si>
  <si>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</si>
  <si>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</si>
  <si>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</si>
  <si>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924</t>
  </si>
  <si>
    <t>Доходы от компенсации затрат государства</t>
  </si>
  <si>
    <t>060</t>
  </si>
  <si>
    <t>Прочие доходы от компенсации затрат государства</t>
  </si>
  <si>
    <t>910</t>
  </si>
  <si>
    <t>905</t>
  </si>
  <si>
    <t>953</t>
  </si>
  <si>
    <t>934</t>
  </si>
  <si>
    <t>929</t>
  </si>
  <si>
    <t>925</t>
  </si>
  <si>
    <t>908</t>
  </si>
  <si>
    <t>926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</si>
  <si>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</si>
  <si>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</si>
  <si>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</si>
  <si>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</si>
  <si>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</si>
  <si>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</si>
  <si>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</si>
  <si>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</si>
  <si>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</si>
  <si>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</si>
  <si>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</si>
  <si>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</si>
  <si>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</si>
  <si>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140</t>
  </si>
  <si>
    <t>16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</si>
  <si>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</si>
  <si>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</si>
  <si>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</si>
  <si>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</si>
  <si>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</si>
  <si>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</si>
  <si>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</si>
  <si>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</si>
  <si>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</si>
  <si>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</si>
  <si>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</si>
  <si>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074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</si>
  <si>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</si>
  <si>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</si>
  <si>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083</t>
  </si>
  <si>
    <t>090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</si>
  <si>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</si>
  <si>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123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</si>
  <si>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</si>
  <si>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</si>
  <si>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143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</si>
  <si>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</si>
  <si>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153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</si>
  <si>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</si>
  <si>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173</t>
  </si>
  <si>
    <t>180</t>
  </si>
  <si>
    <t>190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</si>
  <si>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</si>
  <si>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</si>
  <si>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</si>
  <si>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</si>
  <si>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</si>
  <si>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200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</si>
  <si>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</si>
  <si>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</si>
  <si>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</si>
  <si>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</si>
  <si>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</si>
  <si>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</si>
  <si>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</si>
  <si>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</si>
  <si>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</si>
  <si>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</si>
  <si>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</si>
  <si>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</t>
  </si>
  <si>
    <t>141</t>
  </si>
  <si>
    <t>833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</si>
  <si>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</si>
  <si>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</si>
  <si>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</si>
  <si>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</si>
  <si>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</si>
  <si>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</si>
  <si>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</si>
  <si>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</si>
  <si>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</si>
  <si>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</si>
  <si>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</si>
  <si>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19</t>
  </si>
  <si>
    <t>999</t>
  </si>
  <si>
    <t>Прочие дотации</t>
  </si>
  <si>
    <t>Прочие дотации бюджетам муниципальных районов</t>
  </si>
  <si>
    <t>20</t>
  </si>
  <si>
    <t>Субсидии бюджетам бюджетной системы Российской Федерации (межбюджетные субсидии)</t>
  </si>
  <si>
    <t>077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</si>
  <si>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</si>
  <si>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</si>
  <si>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25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</si>
  <si>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</si>
  <si>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</si>
  <si>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</si>
  <si>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497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</si>
  <si>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</si>
  <si>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</si>
  <si>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29</t>
  </si>
  <si>
    <t>Прочие субсидии</t>
  </si>
  <si>
    <t>Прочие субсидии бюджетам муниципальных районов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</si>
  <si>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</si>
  <si>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</si>
  <si>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</si>
  <si>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</si>
  <si>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</si>
  <si>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</si>
  <si>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</si>
  <si>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</si>
  <si>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35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</si>
  <si>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</si>
  <si>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</si>
  <si>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</si>
  <si>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</si>
  <si>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</si>
  <si>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</si>
  <si>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</si>
  <si>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45</t>
  </si>
  <si>
    <t>303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</si>
  <si>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</si>
  <si>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</si>
  <si>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</si>
  <si>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60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</si>
  <si>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</si>
  <si>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</si>
  <si>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</si>
  <si>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вида доходов бюджетов</t>
  </si>
  <si>
    <t>источников доходов бюджета муниципального образования Темрюкский район</t>
  </si>
  <si>
    <t>Начальник отдела отраслевого финансирования и доходов бюджета</t>
  </si>
  <si>
    <t>Т.В. Грызунок</t>
  </si>
  <si>
    <t>Наименование главного администратора доходов бюджета муниципального образования Темрюкский район</t>
  </si>
  <si>
    <t>под-
группа доходов</t>
  </si>
  <si>
    <t>под-
статья доходов</t>
  </si>
  <si>
    <t>группа подвида доходов бюдже-
тов</t>
  </si>
  <si>
    <t>аналити-
ческая группа подвида доходов бюджетов</t>
  </si>
  <si>
    <t>Исполнитель Сушко Ольга Игоревна</t>
  </si>
  <si>
    <t>(86148) 5-19-60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</si>
  <si>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</si>
  <si>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Федеральная антимонопольная служба</t>
  </si>
  <si>
    <t>Федеральная служба по надзору в сфере природопользования</t>
  </si>
  <si>
    <t>Федеральное агентство по рыболовству</t>
  </si>
  <si>
    <t>Федеральная служба по надзору в сфере защиты прав потребителей и благополучия человека</t>
  </si>
  <si>
    <t>Федеральная налоговая служба</t>
  </si>
  <si>
    <t>Министерство внутренних дел Российской Федерации</t>
  </si>
  <si>
    <t>Департамент ветеринарии Краснодарского края</t>
  </si>
  <si>
    <t>Департамент по обеспечению деятельности мировых судей Краснодарского края</t>
  </si>
  <si>
    <t>Администрация муниципального образования Темрюкский район</t>
  </si>
  <si>
    <t>Финансовое управление администрации муниципального образования Темрюкский  район</t>
  </si>
  <si>
    <t>Отдел внутреннего финансового контроля администрации муниципального образования Темрюкский район</t>
  </si>
  <si>
    <t>Контрольно-счетная палата муниципального образования Темрюкский  район</t>
  </si>
  <si>
    <t>Управление капитального строительства и топливно-энергетического комплекса администрации муниципального образования Темрюкский район</t>
  </si>
  <si>
    <t>Управление образованием администрации муниципального образования Темрюкский  район</t>
  </si>
  <si>
    <t>Управление культуры администрации муниципального образования Темрюкский район</t>
  </si>
  <si>
    <t>Отдел по физической культуре и спорту администрации муниципального образования Темрюкский район</t>
  </si>
  <si>
    <t>Отдел по делам молодежи администрации муниципального образования Темрюкский район</t>
  </si>
  <si>
    <t>Управление по вопросам семьи и детства администрации муниципального образования Темрюкский район</t>
  </si>
  <si>
    <t>Администрация Темрюкского городского поселения Темрюкского района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</si>
  <si>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</si>
  <si>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</si>
  <si>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Показатели прогноза доходов бюджета
на 2024 год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</si>
  <si>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</si>
  <si>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</si>
  <si>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</si>
  <si>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032</t>
  </si>
  <si>
    <t>061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</si>
  <si>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</si>
  <si>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</si>
  <si>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</si>
  <si>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</si>
  <si>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Министерство природных ресурсов Краснодарского края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</si>
  <si>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</si>
  <si>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организациями остатков субсидий прошлых лет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</si>
  <si>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</si>
  <si>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</si>
  <si>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</si>
  <si>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Показатели прогноза доходов бюджета
на 2025 год</t>
  </si>
  <si>
    <t>033</t>
  </si>
  <si>
    <t>113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</si>
  <si>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</si>
  <si>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Управление муниципального контроля администрации муниципального образования Темрюкский район</t>
  </si>
  <si>
    <t>921</t>
  </si>
  <si>
    <t>161</t>
  </si>
  <si>
    <t>854</t>
  </si>
  <si>
    <t>18</t>
  </si>
  <si>
    <t>36</t>
  </si>
  <si>
    <t>314</t>
  </si>
  <si>
    <t>900</t>
  </si>
  <si>
    <t>Единая субвенция местным бюджетам из бюджета субъекта Российской Федерации</t>
  </si>
  <si>
    <t>Единая субвенция бюджетам муниципальных районов из бюджета субъекта Российской Федерации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</si>
  <si>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</si>
  <si>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</si>
  <si>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</si>
  <si>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183</t>
  </si>
  <si>
    <t>519</t>
  </si>
  <si>
    <t>133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</si>
  <si>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</si>
  <si>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</si>
  <si>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</si>
  <si>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</si>
  <si>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</si>
  <si>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</si>
  <si>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</si>
  <si>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Финансовое управление администрации муниципального образования Темрюкский район</t>
  </si>
  <si>
    <t>Наименование группы источников доходов бюджетов/ наименование источника дохода бюджета</t>
  </si>
  <si>
    <t>код главного админист-
ратора
доходов
бюджета
муници-
пального
образо-
вания
Темрюк-
ский
район</t>
  </si>
  <si>
    <t>Показатели прогноза доходов в 2023 году в соответствии с решением о бюджете муниципаль-
ного образования Темрюкский район*</t>
  </si>
  <si>
    <t>Оценка исполнения
2023 года</t>
  </si>
  <si>
    <t>Показатели прогноза доходов бюджета
на 2026 год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</si>
  <si>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</si>
  <si>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</si>
  <si>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</si>
  <si>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</si>
  <si>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</si>
  <si>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</si>
  <si>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786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</si>
  <si>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</si>
  <si>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</si>
  <si>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179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</si>
  <si>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</si>
  <si>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</si>
  <si>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</si>
  <si>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</si>
  <si>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</si>
  <si>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</si>
  <si>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</si>
  <si>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</si>
  <si>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районов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</si>
  <si>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Федерации**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</si>
  <si>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Федерации**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</si>
  <si>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бюджетами**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</si>
  <si>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Федерации**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</si>
  <si>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Федерации**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</si>
  <si>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Федерации**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</si>
  <si>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рублей)**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</si>
  <si>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рублей)**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</si>
  <si>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рублей)**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</si>
  <si>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рублей)**</t>
  </si>
  <si>
    <t>Налог, взимаемый с налогоплательщиков, выбравших в качестве объекта налогообложения доходы**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</si>
  <si>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Федерации)**</t>
  </si>
  <si>
    <t>Единый налог на вмененный доход для отдельных видов деятельности**</t>
  </si>
  <si>
    <t>Единый налог на вмененный доход для отдельных видов деятельности (за налоговые периоды, истекшие до 1 января 2011 года)**</t>
  </si>
  <si>
    <t>Единый сельскохозяйственный налог**</t>
  </si>
  <si>
    <t>Налог, взимаемый в связи с применением патентной системы налогообложения, зачисляемый в бюджеты муниципальных районов**</t>
  </si>
  <si>
    <t>Налог на имущество организаций по имуществу, не входящему в Единую систему газоснабжения**</t>
  </si>
  <si>
    <t>Налог на имущество организаций по имуществу, входящему в Единую систему газоснабжения**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</si>
  <si>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Федерации)**</t>
  </si>
  <si>
    <t>Государственная пошлина за выдачу разрешения на установку рекламной конструкции**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</si>
  <si>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</si>
  <si>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участков**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</si>
  <si>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учреждений)**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</si>
  <si>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учреждений)**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</si>
  <si>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казенных)**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</si>
  <si>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разграничена**</t>
  </si>
  <si>
    <t>Плата за выбросы загрязняющих веществ в атмосферный воздух стационарными объектами**</t>
  </si>
  <si>
    <t>Плата за сбросы загрязняющих веществ в водные объекты**</t>
  </si>
  <si>
    <t>Плата за размещение отходов производства**</t>
  </si>
  <si>
    <t>Плата за размещение твердых коммунальных отходов**</t>
  </si>
  <si>
    <t>Прочие доходы от компенсации затрат бюджетов муниципальных районов**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</si>
  <si>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районов**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</si>
  <si>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поселений**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</si>
  <si>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прав**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</si>
  <si>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прав**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</si>
  <si>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прав**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</si>
  <si>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прав**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</si>
  <si>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прав**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</si>
  <si>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прав**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</si>
  <si>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прав**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</si>
  <si>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прав**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</si>
  <si>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прав**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</si>
  <si>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прав**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</si>
  <si>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прав**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</si>
  <si>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прав**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</si>
  <si>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году**</t>
  </si>
  <si>
    <t>Прочие неналоговые доходы бюджетов муниципальных районов**</t>
  </si>
  <si>
    <t>Доходы бюджетов муниципальных районов от возврата бюджетными учреждениями остатков субсидий прошлых лет**</t>
  </si>
  <si>
    <t>Доходы бюджетов муниципальных районов от возврата иными организациями остатков субсидий прошлых лет**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</si>
  <si>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</si>
  <si>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</si>
  <si>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</si>
  <si>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прав*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</si>
  <si>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</si>
  <si>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</si>
  <si>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</si>
  <si>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на "1" января 2024 года</t>
  </si>
  <si>
    <t>Показатели кассовых поступлений в 2023 году (по состоянию
на "1" октября 2023г.) в бюджет муниципаль-
ного образования Темрюкский район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</si>
  <si>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дивидендов**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</si>
  <si>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дивидендов)**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</si>
  <si>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участков**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</si>
  <si>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</si>
  <si>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района***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</si>
  <si>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</si>
  <si>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*В соответствии с Решением XLI сессии Совета муниципального образования Темрюкский район VII созыва от 6 декабря 2022 г. № 338 "О бюджете муниципального образования Темрюкский район на 2023 год и на плановый период 2024 и 2025 годов" (с учетом изменений на 1 октября 2023 г.)
**По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
***Наименование изменено в соответствии с приказом Министерства финансов Российской Федерации от 1 июня 2023 г. № 80н "Об утверждении кодов (перечней кодов) бюджетной классификации Российской Федерации на 2024 год (на 2024 год и на плановый период 2025 и 2026 годов)", а также по видам и подвидам доходов, входящим в соответствующий группировочный код бюджетной классификации, зачисляемым в бюджет муниципального образования Темрюкский район в соответствии с законодательством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</si>
</sst>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000"/>
    <numFmt numFmtId="166" formatCode="#,##0.0"/>
  </numFmts>
  <fonts count="18" x14ac:knownFonts="1">
    <font>
      <sz val="10"/>
      <color rgb="FF000000"/>
      <name val="Arial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Arial"/>
      <family val="1"/>
    </font>
    <font>
      <sz val="10"/>
      <color rgb="FF000000"/>
      <name val="Arial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1"/>
    </font>
    <font>
      <sz val="10"/>
      <color rgb="FF000000"/>
      <name val="Arial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0" fillId="0" borderId="11"/>
    <xf numFmtId="0" fontId="5" fillId="0" borderId="11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12" xfId="0" quotePrefix="1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0" fontId="7" fillId="0" borderId="0" xfId="0" applyFont="1" applyFill="1" applyAlignment="1">
      <alignment vertical="top"/>
    </xf>
    <xf numFmtId="0" fontId="6" fillId="0" borderId="12" xfId="0" applyNumberFormat="1" applyFont="1" applyFill="1" applyBorder="1" applyAlignment="1">
      <alignment vertical="top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top"/>
    </xf>
    <xf numFmtId="49" fontId="7" fillId="0" borderId="12" xfId="0" quotePrefix="1" applyNumberFormat="1" applyFont="1" applyFill="1" applyBorder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vertical="top"/>
    </xf>
    <xf numFmtId="165" fontId="8" fillId="2" borderId="11" xfId="0" applyNumberFormat="1" applyFont="1" applyFill="1" applyBorder="1" applyAlignment="1">
      <alignment horizontal="right" vertical="top"/>
    </xf>
    <xf numFmtId="165" fontId="8" fillId="0" borderId="0" xfId="0" applyNumberFormat="1" applyFont="1" applyFill="1" applyAlignment="1">
      <alignment vertical="top"/>
    </xf>
    <xf numFmtId="0" fontId="16" fillId="0" borderId="0" xfId="0" applyFont="1" applyAlignment="1">
      <alignment vertical="top"/>
    </xf>
    <xf numFmtId="0" fontId="8" fillId="0" borderId="0" xfId="0" applyFont="1"/>
    <xf numFmtId="0" fontId="8" fillId="0" borderId="0" xfId="0" applyFont="1" applyFill="1"/>
    <xf numFmtId="0" fontId="8" fillId="0" borderId="0" xfId="0" applyFont="1" applyAlignment="1">
      <alignment vertical="center"/>
    </xf>
    <xf numFmtId="0" fontId="7" fillId="0" borderId="16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vertical="top"/>
    </xf>
    <xf numFmtId="0" fontId="1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49" fontId="7" fillId="0" borderId="11" xfId="0" applyNumberFormat="1" applyFont="1" applyFill="1" applyBorder="1" applyAlignment="1">
      <alignment horizontal="justify" vertical="top" wrapText="1"/>
    </xf>
    <xf numFmtId="166" fontId="7" fillId="0" borderId="12" xfId="0" applyNumberFormat="1" applyFont="1" applyFill="1" applyBorder="1" applyAlignment="1">
      <alignment horizontal="right" vertical="top"/>
    </xf>
    <xf numFmtId="166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justify" vertical="top"/>
    </xf>
    <xf numFmtId="166" fontId="6" fillId="0" borderId="12" xfId="1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justify" vertical="top" wrapText="1"/>
    </xf>
    <xf numFmtId="49" fontId="15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/>
  </cellXfs>
  <cellStyles count="4">
    <cellStyle name="TableStyleLight1" xfId="1"/>
    <cellStyle name="TableStyleLight1 2" xfId="3"/>
    <cellStyle name="Обычный" xfId="0" builtinId="0" customBuiltin="1"/>
    <cellStyle name="Обычный 2" xfId="2"/>
  </cellStyles>
  <dxfs count="0"/>
  <tableStyles count="0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count="1" id="1542723978">
        <pm:charStyle Id="1" fontId="0" name="Обычный"/>
      </pm:charStyles>
      <pm:colors xmlns:pm="smNativeData" count="1" id="1542723978">
        <pm:color name="Цвет 24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"/>
  <sheetViews>
    <sheetView tabSelected="1" view="pageBreakPreview" zoomScale="90" zoomScaleNormal="80" zoomScaleSheetLayoutView="90" workbookViewId="0">
      <selection activeCell="E272" sqref="E272"/>
    </sheetView>
  </sheetViews>
  <sheetFormatPr defaultRowHeight="13.5" customHeight="1" x14ac:dyDescent="0.2"/>
  <cols>
    <col min="1" max="1" width="14.140625" style="47" customWidth="1"/>
    <col min="2" max="2" width="9.42578125" style="47" customWidth="1"/>
    <col min="3" max="8" width="8" style="47" customWidth="1"/>
    <col min="9" max="9" width="9.28515625" style="47" customWidth="1"/>
    <col min="10" max="10" width="35.7109375" style="47" customWidth="1"/>
    <col min="11" max="11" width="27" style="50" customWidth="1"/>
    <col min="12" max="13" width="12.28515625" style="47" customWidth="1"/>
    <col min="14" max="17" width="11.28515625" style="47" customWidth="1"/>
    <col min="18" max="18" width="11.42578125" style="65" customWidth="1"/>
    <col min="19" max="21" width="9.28515625" style="47" customWidth="1"/>
    <col min="22" max="990" width="9.140625" style="47" customWidth="1"/>
    <col min="991" max="16384" width="9.140625" style="47"/>
  </cols>
  <sheetData>
    <row r="1" spans="1:18" ht="13.5" customHeight="1" x14ac:dyDescent="0.2">
      <c r="A1" s="99" t="s">
        <v>138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s="63" customFormat="1" ht="15.75" x14ac:dyDescent="0.2">
      <c r="A2" s="100" t="s">
        <v>407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65"/>
    </row>
    <row r="3" spans="1:18" s="63" customFormat="1" ht="15.75" x14ac:dyDescent="0.2">
      <c r="A3" s="100" t="s">
        <v>563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65"/>
    </row>
    <row r="4" spans="1:18" s="63" customFormat="1" ht="15.75" x14ac:dyDescent="0.2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1"/>
      <c r="Q4" s="83"/>
      <c r="R4" s="65"/>
    </row>
    <row r="5" spans="1:18" s="63" customFormat="1" ht="15.75" x14ac:dyDescent="0.2">
      <c r="A5" s="75" t="s">
        <v>141</v>
      </c>
      <c r="B5" s="75"/>
      <c r="C5" s="75"/>
      <c r="D5" s="75"/>
      <c r="E5" s="75"/>
      <c r="F5" s="75"/>
      <c r="G5" s="101" t="s">
        <v>482</v>
      </c>
      <c r="H5" s="101"/>
      <c r="I5" s="101"/>
      <c r="J5" s="101"/>
      <c r="K5" s="101"/>
      <c r="L5" s="101"/>
      <c r="M5" s="101"/>
      <c r="N5" s="101"/>
      <c r="O5" s="75"/>
      <c r="P5" s="81"/>
      <c r="Q5" s="75"/>
      <c r="R5" s="65"/>
    </row>
    <row r="6" spans="1:18" s="63" customFormat="1" ht="15.75" x14ac:dyDescent="0.2">
      <c r="A6" s="75" t="s">
        <v>143</v>
      </c>
      <c r="B6" s="75"/>
      <c r="C6" s="75"/>
      <c r="D6" s="75"/>
      <c r="E6" s="75"/>
      <c r="F6" s="75"/>
      <c r="G6" s="101" t="s">
        <v>177</v>
      </c>
      <c r="H6" s="101"/>
      <c r="I6" s="101"/>
      <c r="J6" s="101"/>
      <c r="K6" s="101"/>
      <c r="L6" s="101"/>
      <c r="M6" s="101"/>
      <c r="N6" s="101"/>
      <c r="O6" s="75"/>
      <c r="P6" s="75"/>
      <c r="Q6" s="75"/>
      <c r="R6" s="65"/>
    </row>
    <row r="7" spans="1:18" s="63" customFormat="1" ht="15.75" x14ac:dyDescent="0.2">
      <c r="A7" s="75" t="s">
        <v>145</v>
      </c>
      <c r="B7" s="75"/>
      <c r="C7" s="75"/>
      <c r="D7" s="75"/>
      <c r="E7" s="75"/>
      <c r="F7" s="75"/>
      <c r="G7" s="101" t="s">
        <v>146</v>
      </c>
      <c r="H7" s="101"/>
      <c r="I7" s="101"/>
      <c r="J7" s="101"/>
      <c r="K7" s="101"/>
      <c r="L7" s="101"/>
      <c r="M7" s="101"/>
      <c r="N7" s="101"/>
      <c r="O7" s="75"/>
      <c r="P7" s="75"/>
      <c r="Q7" s="75"/>
      <c r="R7" s="65"/>
    </row>
    <row r="8" spans="1:18" ht="13.5" customHeight="1" x14ac:dyDescent="0.2">
      <c r="A8" s="56"/>
      <c r="B8" s="56"/>
      <c r="C8" s="56"/>
      <c r="D8" s="56"/>
      <c r="E8" s="56"/>
      <c r="F8" s="76"/>
      <c r="G8" s="76"/>
      <c r="H8" s="76"/>
      <c r="I8" s="76"/>
      <c r="J8" s="76"/>
      <c r="K8" s="77"/>
      <c r="L8" s="76"/>
      <c r="M8" s="76"/>
      <c r="N8" s="56"/>
      <c r="O8" s="56"/>
      <c r="P8" s="56"/>
      <c r="Q8" s="56"/>
    </row>
    <row r="9" spans="1:18" s="50" customFormat="1" ht="12.75" x14ac:dyDescent="0.2">
      <c r="A9" s="93" t="s">
        <v>483</v>
      </c>
      <c r="B9" s="94" t="s">
        <v>9</v>
      </c>
      <c r="C9" s="95"/>
      <c r="D9" s="95"/>
      <c r="E9" s="95"/>
      <c r="F9" s="95"/>
      <c r="G9" s="95"/>
      <c r="H9" s="95"/>
      <c r="I9" s="96"/>
      <c r="J9" s="93" t="s">
        <v>150</v>
      </c>
      <c r="K9" s="93" t="s">
        <v>410</v>
      </c>
      <c r="L9" s="93" t="s">
        <v>485</v>
      </c>
      <c r="M9" s="93" t="s">
        <v>564</v>
      </c>
      <c r="N9" s="93" t="s">
        <v>486</v>
      </c>
      <c r="O9" s="93" t="s">
        <v>439</v>
      </c>
      <c r="P9" s="93" t="s">
        <v>455</v>
      </c>
      <c r="Q9" s="93" t="s">
        <v>487</v>
      </c>
      <c r="R9" s="66"/>
    </row>
    <row r="10" spans="1:18" s="50" customFormat="1" ht="12.75" x14ac:dyDescent="0.2">
      <c r="A10" s="93"/>
      <c r="B10" s="93" t="s">
        <v>484</v>
      </c>
      <c r="C10" s="94" t="s">
        <v>406</v>
      </c>
      <c r="D10" s="95"/>
      <c r="E10" s="95"/>
      <c r="F10" s="95"/>
      <c r="G10" s="96"/>
      <c r="H10" s="97" t="s">
        <v>160</v>
      </c>
      <c r="I10" s="98"/>
      <c r="J10" s="93"/>
      <c r="K10" s="93"/>
      <c r="L10" s="93"/>
      <c r="M10" s="93"/>
      <c r="N10" s="93"/>
      <c r="O10" s="93"/>
      <c r="P10" s="93"/>
      <c r="Q10" s="93"/>
      <c r="R10" s="66"/>
    </row>
    <row r="11" spans="1:18" s="50" customFormat="1" ht="165" customHeight="1" x14ac:dyDescent="0.2">
      <c r="A11" s="93"/>
      <c r="B11" s="93"/>
      <c r="C11" s="82" t="s">
        <v>38</v>
      </c>
      <c r="D11" s="82" t="s">
        <v>411</v>
      </c>
      <c r="E11" s="82" t="s">
        <v>40</v>
      </c>
      <c r="F11" s="82" t="s">
        <v>412</v>
      </c>
      <c r="G11" s="82" t="s">
        <v>42</v>
      </c>
      <c r="H11" s="82" t="s">
        <v>413</v>
      </c>
      <c r="I11" s="82" t="s">
        <v>414</v>
      </c>
      <c r="J11" s="93"/>
      <c r="K11" s="93"/>
      <c r="L11" s="93"/>
      <c r="M11" s="93"/>
      <c r="N11" s="93"/>
      <c r="O11" s="93"/>
      <c r="P11" s="93"/>
      <c r="Q11" s="93"/>
      <c r="R11" s="66"/>
    </row>
    <row r="12" spans="1:18" ht="13.5" customHeight="1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  <c r="P12" s="44">
        <v>16</v>
      </c>
      <c r="Q12" s="44">
        <v>17</v>
      </c>
    </row>
    <row r="13" spans="1:18" s="54" customFormat="1" ht="38.25" x14ac:dyDescent="0.2">
      <c r="A13" s="51" t="s">
        <v>182</v>
      </c>
      <c r="B13" s="52"/>
      <c r="C13" s="52" t="s">
        <v>178</v>
      </c>
      <c r="D13" s="52" t="s">
        <v>179</v>
      </c>
      <c r="E13" s="52" t="s">
        <v>179</v>
      </c>
      <c r="F13" s="52" t="s">
        <v>180</v>
      </c>
      <c r="G13" s="52" t="s">
        <v>179</v>
      </c>
      <c r="H13" s="52" t="s">
        <v>181</v>
      </c>
      <c r="I13" s="52" t="s">
        <v>180</v>
      </c>
      <c r="J13" s="53" t="s">
        <v>182</v>
      </c>
      <c r="K13" s="51"/>
      <c r="L13" s="86">
        <f t="shared" ref="L13:Q13" si="0">L14+L29+L39+L52+L56+L61+L65+L90+L97+L117+L132+L199</f>
        <v>2485296.9916499997</v>
      </c>
      <c r="M13" s="86">
        <f t="shared" si="0"/>
        <v>2073789.0022600002</v>
      </c>
      <c r="N13" s="86">
        <f t="shared" si="0"/>
        <v>2675453.4573900001</v>
      </c>
      <c r="O13" s="86">
        <f t="shared" si="0"/>
        <v>2728978.9</v>
      </c>
      <c r="P13" s="86">
        <f t="shared" si="0"/>
        <v>2842033.9999999995</v>
      </c>
      <c r="Q13" s="86">
        <f t="shared" si="0"/>
        <v>2953894.3000000003</v>
      </c>
      <c r="R13" s="70"/>
    </row>
    <row r="14" spans="1:18" ht="38.25" x14ac:dyDescent="0.2">
      <c r="A14" s="44" t="s">
        <v>182</v>
      </c>
      <c r="B14" s="45"/>
      <c r="C14" s="45" t="s">
        <v>178</v>
      </c>
      <c r="D14" s="45" t="s">
        <v>183</v>
      </c>
      <c r="E14" s="45" t="s">
        <v>179</v>
      </c>
      <c r="F14" s="45" t="s">
        <v>180</v>
      </c>
      <c r="G14" s="45" t="s">
        <v>179</v>
      </c>
      <c r="H14" s="45" t="s">
        <v>181</v>
      </c>
      <c r="I14" s="45" t="s">
        <v>180</v>
      </c>
      <c r="J14" s="46" t="s">
        <v>184</v>
      </c>
      <c r="K14" s="44"/>
      <c r="L14" s="85">
        <f t="shared" ref="L14:Q14" si="1">L15+L19</f>
        <v>1772117</v>
      </c>
      <c r="M14" s="85">
        <f t="shared" si="1"/>
        <v>1486189.3669400001</v>
      </c>
      <c r="N14" s="85">
        <f t="shared" si="1"/>
        <v>1956883.6</v>
      </c>
      <c r="O14" s="85">
        <f t="shared" si="1"/>
        <v>2058982</v>
      </c>
      <c r="P14" s="85">
        <f t="shared" si="1"/>
        <v>2170068</v>
      </c>
      <c r="Q14" s="85">
        <f t="shared" si="1"/>
        <v>2264515</v>
      </c>
    </row>
    <row r="15" spans="1:18" ht="38.25" x14ac:dyDescent="0.2">
      <c r="A15" s="44" t="s">
        <v>182</v>
      </c>
      <c r="B15" s="45"/>
      <c r="C15" s="45" t="s">
        <v>178</v>
      </c>
      <c r="D15" s="45" t="s">
        <v>183</v>
      </c>
      <c r="E15" s="45" t="s">
        <v>183</v>
      </c>
      <c r="F15" s="45" t="s">
        <v>180</v>
      </c>
      <c r="G15" s="45" t="s">
        <v>179</v>
      </c>
      <c r="H15" s="45" t="s">
        <v>181</v>
      </c>
      <c r="I15" s="45" t="s">
        <v>185</v>
      </c>
      <c r="J15" s="46" t="s">
        <v>186</v>
      </c>
      <c r="K15" s="44"/>
      <c r="L15" s="85">
        <f>SUM(L16:L18)</f>
        <v>738460.39999999991</v>
      </c>
      <c r="M15" s="85">
        <f t="shared" ref="M15:Q15" si="2">SUM(M16:M18)</f>
        <v>694156.87341999996</v>
      </c>
      <c r="N15" s="85">
        <f t="shared" si="2"/>
        <v>864383.1</v>
      </c>
      <c r="O15" s="85">
        <f t="shared" si="2"/>
        <v>881087</v>
      </c>
      <c r="P15" s="85">
        <f t="shared" si="2"/>
        <v>914048</v>
      </c>
      <c r="Q15" s="85">
        <f t="shared" si="2"/>
        <v>932329</v>
      </c>
    </row>
    <row r="16" spans="1:18" ht="210" customHeight="1" x14ac:dyDescent="0.2">
      <c r="A16" s="44" t="s">
        <v>182</v>
      </c>
      <c r="B16" s="45" t="s">
        <v>190</v>
      </c>
      <c r="C16" s="45" t="s">
        <v>178</v>
      </c>
      <c r="D16" s="45" t="s">
        <v>183</v>
      </c>
      <c r="E16" s="45" t="s">
        <v>183</v>
      </c>
      <c r="F16" s="45" t="s">
        <v>188</v>
      </c>
      <c r="G16" s="45" t="s">
        <v>189</v>
      </c>
      <c r="H16" s="45" t="s">
        <v>181</v>
      </c>
      <c r="I16" s="45" t="s">
        <v>185</v>
      </c>
      <c r="J16" s="46" t="s">
        <v>507</v>
      </c>
      <c r="K16" s="44" t="s">
        <v>422</v>
      </c>
      <c r="L16" s="85">
        <v>737888.7</v>
      </c>
      <c r="M16" s="85">
        <v>693585.09397000005</v>
      </c>
      <c r="N16" s="85">
        <v>863811</v>
      </c>
      <c r="O16" s="85">
        <v>881087</v>
      </c>
      <c r="P16" s="85">
        <v>914048</v>
      </c>
      <c r="Q16" s="85">
        <v>932329</v>
      </c>
      <c r="R16" s="55"/>
    </row>
    <row r="17" spans="1:20" ht="121.5" customHeight="1" x14ac:dyDescent="0.2">
      <c r="A17" s="44" t="s">
        <v>182</v>
      </c>
      <c r="B17" s="45" t="s">
        <v>190</v>
      </c>
      <c r="C17" s="45" t="s">
        <v>178</v>
      </c>
      <c r="D17" s="45" t="s">
        <v>183</v>
      </c>
      <c r="E17" s="45" t="s">
        <v>183</v>
      </c>
      <c r="F17" s="49" t="s">
        <v>394</v>
      </c>
      <c r="G17" s="45" t="s">
        <v>189</v>
      </c>
      <c r="H17" s="45" t="s">
        <v>181</v>
      </c>
      <c r="I17" s="45" t="s">
        <v>185</v>
      </c>
      <c r="J17" s="46" t="s">
        <v>508</v>
      </c>
      <c r="K17" s="44" t="s">
        <v>422</v>
      </c>
      <c r="L17" s="85">
        <v>253.7</v>
      </c>
      <c r="M17" s="85">
        <v>253.72810000000001</v>
      </c>
      <c r="N17" s="85">
        <v>254</v>
      </c>
      <c r="O17" s="85">
        <v>0</v>
      </c>
      <c r="P17" s="85">
        <v>0</v>
      </c>
      <c r="Q17" s="85">
        <v>0</v>
      </c>
      <c r="R17" s="55"/>
    </row>
    <row r="18" spans="1:20" s="56" customFormat="1" ht="183" customHeight="1" x14ac:dyDescent="0.2">
      <c r="A18" s="44" t="s">
        <v>182</v>
      </c>
      <c r="B18" s="45" t="s">
        <v>190</v>
      </c>
      <c r="C18" s="45" t="s">
        <v>178</v>
      </c>
      <c r="D18" s="45" t="s">
        <v>183</v>
      </c>
      <c r="E18" s="45" t="s">
        <v>183</v>
      </c>
      <c r="F18" s="49">
        <v>130</v>
      </c>
      <c r="G18" s="45" t="s">
        <v>183</v>
      </c>
      <c r="H18" s="45" t="s">
        <v>181</v>
      </c>
      <c r="I18" s="45" t="s">
        <v>185</v>
      </c>
      <c r="J18" s="46" t="s">
        <v>509</v>
      </c>
      <c r="K18" s="44" t="s">
        <v>422</v>
      </c>
      <c r="L18" s="85">
        <v>318</v>
      </c>
      <c r="M18" s="85">
        <v>318.05135000000001</v>
      </c>
      <c r="N18" s="85">
        <v>318.10000000000002</v>
      </c>
      <c r="O18" s="85">
        <v>0</v>
      </c>
      <c r="P18" s="85">
        <v>0</v>
      </c>
      <c r="Q18" s="85">
        <v>0</v>
      </c>
      <c r="R18" s="69"/>
    </row>
    <row r="19" spans="1:20" ht="38.25" x14ac:dyDescent="0.2">
      <c r="A19" s="44" t="s">
        <v>182</v>
      </c>
      <c r="B19" s="45"/>
      <c r="C19" s="45" t="s">
        <v>178</v>
      </c>
      <c r="D19" s="45" t="s">
        <v>183</v>
      </c>
      <c r="E19" s="45" t="s">
        <v>189</v>
      </c>
      <c r="F19" s="45" t="s">
        <v>180</v>
      </c>
      <c r="G19" s="45" t="s">
        <v>183</v>
      </c>
      <c r="H19" s="45" t="s">
        <v>181</v>
      </c>
      <c r="I19" s="45" t="s">
        <v>185</v>
      </c>
      <c r="J19" s="46" t="s">
        <v>191</v>
      </c>
      <c r="K19" s="44"/>
      <c r="L19" s="85">
        <f>SUM(L20:L28)</f>
        <v>1033656.6000000001</v>
      </c>
      <c r="M19" s="85">
        <f t="shared" ref="M19:P19" si="3">SUM(M20:M28)</f>
        <v>792032.49352000013</v>
      </c>
      <c r="N19" s="85">
        <f t="shared" si="3"/>
        <v>1092500.5</v>
      </c>
      <c r="O19" s="85">
        <f t="shared" si="3"/>
        <v>1177895</v>
      </c>
      <c r="P19" s="85">
        <f t="shared" si="3"/>
        <v>1256020</v>
      </c>
      <c r="Q19" s="85">
        <f>SUM(Q20:Q28)</f>
        <v>1332186</v>
      </c>
    </row>
    <row r="20" spans="1:20" ht="140.25" x14ac:dyDescent="0.2">
      <c r="A20" s="44" t="s">
        <v>182</v>
      </c>
      <c r="B20" s="45" t="s">
        <v>190</v>
      </c>
      <c r="C20" s="45" t="s">
        <v>178</v>
      </c>
      <c r="D20" s="45" t="s">
        <v>183</v>
      </c>
      <c r="E20" s="45" t="s">
        <v>189</v>
      </c>
      <c r="F20" s="45" t="s">
        <v>187</v>
      </c>
      <c r="G20" s="45" t="s">
        <v>183</v>
      </c>
      <c r="H20" s="45" t="s">
        <v>181</v>
      </c>
      <c r="I20" s="45" t="s">
        <v>185</v>
      </c>
      <c r="J20" s="46" t="s">
        <v>565</v>
      </c>
      <c r="K20" s="44" t="s">
        <v>422</v>
      </c>
      <c r="L20" s="85">
        <v>959290.8</v>
      </c>
      <c r="M20" s="85">
        <v>717666.26664000005</v>
      </c>
      <c r="N20" s="85">
        <v>1002209</v>
      </c>
      <c r="O20" s="85">
        <v>1082385</v>
      </c>
      <c r="P20" s="85">
        <v>1158152</v>
      </c>
      <c r="Q20" s="85">
        <v>1234590</v>
      </c>
      <c r="S20" s="65"/>
      <c r="T20" s="65"/>
    </row>
    <row r="21" spans="1:20" ht="146.25" customHeight="1" x14ac:dyDescent="0.2">
      <c r="A21" s="44" t="s">
        <v>182</v>
      </c>
      <c r="B21" s="45" t="s">
        <v>190</v>
      </c>
      <c r="C21" s="45" t="s">
        <v>178</v>
      </c>
      <c r="D21" s="45" t="s">
        <v>183</v>
      </c>
      <c r="E21" s="45" t="s">
        <v>189</v>
      </c>
      <c r="F21" s="45" t="s">
        <v>192</v>
      </c>
      <c r="G21" s="45" t="s">
        <v>183</v>
      </c>
      <c r="H21" s="45" t="s">
        <v>181</v>
      </c>
      <c r="I21" s="45" t="s">
        <v>185</v>
      </c>
      <c r="J21" s="46" t="s">
        <v>510</v>
      </c>
      <c r="K21" s="44" t="s">
        <v>422</v>
      </c>
      <c r="L21" s="85">
        <v>845.2</v>
      </c>
      <c r="M21" s="85">
        <v>845.22626000000002</v>
      </c>
      <c r="N21" s="85">
        <v>2257</v>
      </c>
      <c r="O21" s="85">
        <v>2392</v>
      </c>
      <c r="P21" s="85">
        <v>2440</v>
      </c>
      <c r="Q21" s="85">
        <v>2501</v>
      </c>
      <c r="S21" s="65"/>
      <c r="T21" s="65"/>
    </row>
    <row r="22" spans="1:20" ht="52.5" customHeight="1" x14ac:dyDescent="0.2">
      <c r="A22" s="44" t="s">
        <v>182</v>
      </c>
      <c r="B22" s="45" t="s">
        <v>190</v>
      </c>
      <c r="C22" s="45" t="s">
        <v>178</v>
      </c>
      <c r="D22" s="45" t="s">
        <v>183</v>
      </c>
      <c r="E22" s="45" t="s">
        <v>189</v>
      </c>
      <c r="F22" s="45" t="s">
        <v>193</v>
      </c>
      <c r="G22" s="45" t="s">
        <v>183</v>
      </c>
      <c r="H22" s="45" t="s">
        <v>181</v>
      </c>
      <c r="I22" s="45" t="s">
        <v>185</v>
      </c>
      <c r="J22" s="46" t="s">
        <v>511</v>
      </c>
      <c r="K22" s="44" t="s">
        <v>422</v>
      </c>
      <c r="L22" s="85">
        <v>11548.4</v>
      </c>
      <c r="M22" s="85">
        <v>11548.49086</v>
      </c>
      <c r="N22" s="85">
        <v>13425</v>
      </c>
      <c r="O22" s="85">
        <v>14230</v>
      </c>
      <c r="P22" s="85">
        <v>14515</v>
      </c>
      <c r="Q22" s="85">
        <v>14805</v>
      </c>
      <c r="S22" s="65"/>
      <c r="T22" s="65"/>
    </row>
    <row r="23" spans="1:20" ht="114.75" x14ac:dyDescent="0.2">
      <c r="A23" s="44" t="s">
        <v>182</v>
      </c>
      <c r="B23" s="45" t="s">
        <v>190</v>
      </c>
      <c r="C23" s="45" t="s">
        <v>178</v>
      </c>
      <c r="D23" s="45" t="s">
        <v>183</v>
      </c>
      <c r="E23" s="45" t="s">
        <v>189</v>
      </c>
      <c r="F23" s="45" t="s">
        <v>194</v>
      </c>
      <c r="G23" s="45" t="s">
        <v>183</v>
      </c>
      <c r="H23" s="45" t="s">
        <v>181</v>
      </c>
      <c r="I23" s="45" t="s">
        <v>185</v>
      </c>
      <c r="J23" s="46" t="s">
        <v>512</v>
      </c>
      <c r="K23" s="44" t="s">
        <v>422</v>
      </c>
      <c r="L23" s="85">
        <v>11843.4</v>
      </c>
      <c r="M23" s="85">
        <v>11843.468919999999</v>
      </c>
      <c r="N23" s="85">
        <v>15800</v>
      </c>
      <c r="O23" s="85">
        <v>16432</v>
      </c>
      <c r="P23" s="85">
        <v>17089</v>
      </c>
      <c r="Q23" s="85">
        <v>17945</v>
      </c>
      <c r="S23" s="65"/>
      <c r="T23" s="65"/>
    </row>
    <row r="24" spans="1:20" ht="143.25" customHeight="1" x14ac:dyDescent="0.2">
      <c r="A24" s="44" t="s">
        <v>182</v>
      </c>
      <c r="B24" s="45" t="s">
        <v>190</v>
      </c>
      <c r="C24" s="45" t="s">
        <v>178</v>
      </c>
      <c r="D24" s="45" t="s">
        <v>183</v>
      </c>
      <c r="E24" s="45" t="s">
        <v>189</v>
      </c>
      <c r="F24" s="45" t="s">
        <v>195</v>
      </c>
      <c r="G24" s="45" t="s">
        <v>183</v>
      </c>
      <c r="H24" s="45" t="s">
        <v>181</v>
      </c>
      <c r="I24" s="45" t="s">
        <v>185</v>
      </c>
      <c r="J24" s="46" t="s">
        <v>513</v>
      </c>
      <c r="K24" s="44" t="s">
        <v>422</v>
      </c>
      <c r="L24" s="85">
        <v>325</v>
      </c>
      <c r="M24" s="85">
        <v>325</v>
      </c>
      <c r="N24" s="85">
        <v>325</v>
      </c>
      <c r="O24" s="85">
        <v>331</v>
      </c>
      <c r="P24" s="85">
        <v>341</v>
      </c>
      <c r="Q24" s="85">
        <v>351</v>
      </c>
      <c r="S24" s="65"/>
      <c r="T24" s="65"/>
    </row>
    <row r="25" spans="1:20" ht="165.75" x14ac:dyDescent="0.2">
      <c r="A25" s="44" t="s">
        <v>182</v>
      </c>
      <c r="B25" s="45" t="s">
        <v>190</v>
      </c>
      <c r="C25" s="45" t="s">
        <v>178</v>
      </c>
      <c r="D25" s="45" t="s">
        <v>183</v>
      </c>
      <c r="E25" s="45" t="s">
        <v>189</v>
      </c>
      <c r="F25" s="49" t="s">
        <v>236</v>
      </c>
      <c r="G25" s="45" t="s">
        <v>183</v>
      </c>
      <c r="H25" s="45" t="s">
        <v>181</v>
      </c>
      <c r="I25" s="45" t="s">
        <v>185</v>
      </c>
      <c r="J25" s="46" t="s">
        <v>566</v>
      </c>
      <c r="K25" s="44" t="s">
        <v>422</v>
      </c>
      <c r="L25" s="85">
        <v>9204.7999999999993</v>
      </c>
      <c r="M25" s="85">
        <v>9204.8057200000003</v>
      </c>
      <c r="N25" s="85">
        <v>11517</v>
      </c>
      <c r="O25" s="85">
        <v>12323</v>
      </c>
      <c r="P25" s="85">
        <v>12668</v>
      </c>
      <c r="Q25" s="85">
        <v>12984</v>
      </c>
      <c r="S25" s="65"/>
      <c r="T25" s="65"/>
    </row>
    <row r="26" spans="1:20" ht="142.5" customHeight="1" x14ac:dyDescent="0.2">
      <c r="A26" s="44" t="s">
        <v>182</v>
      </c>
      <c r="B26" s="45" t="s">
        <v>190</v>
      </c>
      <c r="C26" s="45" t="s">
        <v>178</v>
      </c>
      <c r="D26" s="45" t="s">
        <v>183</v>
      </c>
      <c r="E26" s="45" t="s">
        <v>189</v>
      </c>
      <c r="F26" s="49">
        <v>100</v>
      </c>
      <c r="G26" s="45" t="s">
        <v>183</v>
      </c>
      <c r="H26" s="45" t="s">
        <v>181</v>
      </c>
      <c r="I26" s="45" t="s">
        <v>185</v>
      </c>
      <c r="J26" s="46" t="s">
        <v>514</v>
      </c>
      <c r="K26" s="44" t="s">
        <v>422</v>
      </c>
      <c r="L26" s="85">
        <v>1767.4</v>
      </c>
      <c r="M26" s="85">
        <v>1767.49731</v>
      </c>
      <c r="N26" s="85">
        <v>1767.5</v>
      </c>
      <c r="O26" s="85">
        <v>1890</v>
      </c>
      <c r="P26" s="85">
        <v>1945</v>
      </c>
      <c r="Q26" s="85">
        <v>1994</v>
      </c>
      <c r="S26" s="65"/>
      <c r="T26" s="65"/>
    </row>
    <row r="27" spans="1:20" ht="66" customHeight="1" x14ac:dyDescent="0.2">
      <c r="A27" s="44" t="s">
        <v>182</v>
      </c>
      <c r="B27" s="45" t="s">
        <v>190</v>
      </c>
      <c r="C27" s="45" t="s">
        <v>178</v>
      </c>
      <c r="D27" s="45" t="s">
        <v>183</v>
      </c>
      <c r="E27" s="45" t="s">
        <v>189</v>
      </c>
      <c r="F27" s="49">
        <v>130</v>
      </c>
      <c r="G27" s="45" t="s">
        <v>183</v>
      </c>
      <c r="H27" s="45" t="s">
        <v>181</v>
      </c>
      <c r="I27" s="45" t="s">
        <v>185</v>
      </c>
      <c r="J27" s="46" t="s">
        <v>515</v>
      </c>
      <c r="K27" s="44" t="s">
        <v>422</v>
      </c>
      <c r="L27" s="85">
        <v>9529.5</v>
      </c>
      <c r="M27" s="85">
        <v>9529.5752400000001</v>
      </c>
      <c r="N27" s="85">
        <v>12700</v>
      </c>
      <c r="O27" s="85">
        <v>13462</v>
      </c>
      <c r="P27" s="85">
        <v>13731</v>
      </c>
      <c r="Q27" s="85">
        <v>14074</v>
      </c>
      <c r="S27" s="65"/>
      <c r="T27" s="65"/>
    </row>
    <row r="28" spans="1:20" ht="66" customHeight="1" x14ac:dyDescent="0.2">
      <c r="A28" s="44" t="s">
        <v>182</v>
      </c>
      <c r="B28" s="45" t="s">
        <v>190</v>
      </c>
      <c r="C28" s="45" t="s">
        <v>178</v>
      </c>
      <c r="D28" s="45" t="s">
        <v>183</v>
      </c>
      <c r="E28" s="45" t="s">
        <v>189</v>
      </c>
      <c r="F28" s="49">
        <v>140</v>
      </c>
      <c r="G28" s="45" t="s">
        <v>183</v>
      </c>
      <c r="H28" s="45" t="s">
        <v>181</v>
      </c>
      <c r="I28" s="45" t="s">
        <v>185</v>
      </c>
      <c r="J28" s="46" t="s">
        <v>516</v>
      </c>
      <c r="K28" s="44" t="s">
        <v>422</v>
      </c>
      <c r="L28" s="85">
        <v>29302.1</v>
      </c>
      <c r="M28" s="85">
        <v>29302.16257</v>
      </c>
      <c r="N28" s="85">
        <v>32500</v>
      </c>
      <c r="O28" s="85">
        <v>34450</v>
      </c>
      <c r="P28" s="85">
        <v>35139</v>
      </c>
      <c r="Q28" s="85">
        <v>32942</v>
      </c>
      <c r="S28" s="65"/>
      <c r="T28" s="65"/>
    </row>
    <row r="29" spans="1:20" ht="42.75" customHeight="1" x14ac:dyDescent="0.2">
      <c r="A29" s="44" t="s">
        <v>182</v>
      </c>
      <c r="B29" s="45"/>
      <c r="C29" s="45" t="s">
        <v>178</v>
      </c>
      <c r="D29" s="45" t="s">
        <v>196</v>
      </c>
      <c r="E29" s="45" t="s">
        <v>179</v>
      </c>
      <c r="F29" s="45" t="s">
        <v>180</v>
      </c>
      <c r="G29" s="45" t="s">
        <v>179</v>
      </c>
      <c r="H29" s="45" t="s">
        <v>181</v>
      </c>
      <c r="I29" s="45" t="s">
        <v>180</v>
      </c>
      <c r="J29" s="46" t="s">
        <v>454</v>
      </c>
      <c r="K29" s="44"/>
      <c r="L29" s="85">
        <f>L30</f>
        <v>1072.5999999999999</v>
      </c>
      <c r="M29" s="85">
        <f t="shared" ref="M29:Q29" si="4">M30</f>
        <v>903.25614999999993</v>
      </c>
      <c r="N29" s="85">
        <f t="shared" si="4"/>
        <v>1236.3</v>
      </c>
      <c r="O29" s="85">
        <f t="shared" si="4"/>
        <v>1170.5</v>
      </c>
      <c r="P29" s="85">
        <f t="shared" si="4"/>
        <v>1228.5</v>
      </c>
      <c r="Q29" s="85">
        <f t="shared" si="4"/>
        <v>1277.7000000000003</v>
      </c>
    </row>
    <row r="30" spans="1:20" ht="42.75" customHeight="1" x14ac:dyDescent="0.2">
      <c r="A30" s="44" t="s">
        <v>182</v>
      </c>
      <c r="B30" s="45"/>
      <c r="C30" s="45" t="s">
        <v>178</v>
      </c>
      <c r="D30" s="45" t="s">
        <v>196</v>
      </c>
      <c r="E30" s="45" t="s">
        <v>189</v>
      </c>
      <c r="F30" s="45" t="s">
        <v>180</v>
      </c>
      <c r="G30" s="45" t="s">
        <v>183</v>
      </c>
      <c r="H30" s="45" t="s">
        <v>181</v>
      </c>
      <c r="I30" s="45" t="s">
        <v>185</v>
      </c>
      <c r="J30" s="46" t="s">
        <v>476</v>
      </c>
      <c r="K30" s="44"/>
      <c r="L30" s="85">
        <f>L31+L33+L35+L37</f>
        <v>1072.5999999999999</v>
      </c>
      <c r="M30" s="85">
        <f t="shared" ref="M30:Q30" si="5">M31+M33+M35+M37</f>
        <v>903.25614999999993</v>
      </c>
      <c r="N30" s="85">
        <f t="shared" si="5"/>
        <v>1236.3</v>
      </c>
      <c r="O30" s="85">
        <f t="shared" si="5"/>
        <v>1170.5</v>
      </c>
      <c r="P30" s="85">
        <f t="shared" si="5"/>
        <v>1228.5</v>
      </c>
      <c r="Q30" s="85">
        <f t="shared" si="5"/>
        <v>1277.7000000000003</v>
      </c>
    </row>
    <row r="31" spans="1:20" ht="89.25" x14ac:dyDescent="0.2">
      <c r="A31" s="44" t="s">
        <v>182</v>
      </c>
      <c r="B31" s="45"/>
      <c r="C31" s="45" t="s">
        <v>178</v>
      </c>
      <c r="D31" s="45" t="s">
        <v>196</v>
      </c>
      <c r="E31" s="45" t="s">
        <v>189</v>
      </c>
      <c r="F31" s="45" t="s">
        <v>197</v>
      </c>
      <c r="G31" s="45" t="s">
        <v>183</v>
      </c>
      <c r="H31" s="45" t="s">
        <v>181</v>
      </c>
      <c r="I31" s="45" t="s">
        <v>185</v>
      </c>
      <c r="J31" s="46" t="s">
        <v>198</v>
      </c>
      <c r="K31" s="44"/>
      <c r="L31" s="85">
        <f t="shared" ref="L31:Q31" si="6">L32</f>
        <v>515</v>
      </c>
      <c r="M31" s="85">
        <f t="shared" si="6"/>
        <v>462.68101999999999</v>
      </c>
      <c r="N31" s="85">
        <f t="shared" si="6"/>
        <v>635.79999999999995</v>
      </c>
      <c r="O31" s="85">
        <f t="shared" si="6"/>
        <v>610.5</v>
      </c>
      <c r="P31" s="85">
        <f t="shared" si="6"/>
        <v>639.1</v>
      </c>
      <c r="Q31" s="85">
        <f t="shared" si="6"/>
        <v>665.6</v>
      </c>
    </row>
    <row r="32" spans="1:20" ht="139.5" customHeight="1" x14ac:dyDescent="0.2">
      <c r="A32" s="44" t="s">
        <v>182</v>
      </c>
      <c r="B32" s="45" t="s">
        <v>190</v>
      </c>
      <c r="C32" s="45" t="s">
        <v>178</v>
      </c>
      <c r="D32" s="45" t="s">
        <v>196</v>
      </c>
      <c r="E32" s="45" t="s">
        <v>189</v>
      </c>
      <c r="F32" s="45" t="s">
        <v>199</v>
      </c>
      <c r="G32" s="45" t="s">
        <v>183</v>
      </c>
      <c r="H32" s="45" t="s">
        <v>181</v>
      </c>
      <c r="I32" s="45" t="s">
        <v>185</v>
      </c>
      <c r="J32" s="46" t="s">
        <v>477</v>
      </c>
      <c r="K32" s="44" t="s">
        <v>422</v>
      </c>
      <c r="L32" s="85">
        <v>515</v>
      </c>
      <c r="M32" s="85">
        <v>462.68101999999999</v>
      </c>
      <c r="N32" s="85">
        <v>635.79999999999995</v>
      </c>
      <c r="O32" s="85">
        <v>610.5</v>
      </c>
      <c r="P32" s="85">
        <v>639.1</v>
      </c>
      <c r="Q32" s="85">
        <v>665.6</v>
      </c>
    </row>
    <row r="33" spans="1:18" ht="114.75" x14ac:dyDescent="0.2">
      <c r="A33" s="44" t="s">
        <v>182</v>
      </c>
      <c r="B33" s="45"/>
      <c r="C33" s="45" t="s">
        <v>178</v>
      </c>
      <c r="D33" s="45" t="s">
        <v>196</v>
      </c>
      <c r="E33" s="45" t="s">
        <v>189</v>
      </c>
      <c r="F33" s="45" t="s">
        <v>200</v>
      </c>
      <c r="G33" s="45" t="s">
        <v>183</v>
      </c>
      <c r="H33" s="45" t="s">
        <v>181</v>
      </c>
      <c r="I33" s="45" t="s">
        <v>185</v>
      </c>
      <c r="J33" s="46" t="s">
        <v>201</v>
      </c>
      <c r="K33" s="44"/>
      <c r="L33" s="85">
        <f t="shared" ref="L33:Q33" si="7">L34</f>
        <v>3.2</v>
      </c>
      <c r="M33" s="85">
        <f t="shared" si="7"/>
        <v>2.4930300000000001</v>
      </c>
      <c r="N33" s="85">
        <f t="shared" si="7"/>
        <v>3.2</v>
      </c>
      <c r="O33" s="85">
        <f t="shared" si="7"/>
        <v>2.9</v>
      </c>
      <c r="P33" s="85">
        <f>P34</f>
        <v>3.4</v>
      </c>
      <c r="Q33" s="85">
        <f t="shared" si="7"/>
        <v>3.5</v>
      </c>
    </row>
    <row r="34" spans="1:18" ht="165.75" customHeight="1" x14ac:dyDescent="0.2">
      <c r="A34" s="44" t="s">
        <v>182</v>
      </c>
      <c r="B34" s="45" t="s">
        <v>190</v>
      </c>
      <c r="C34" s="45" t="s">
        <v>178</v>
      </c>
      <c r="D34" s="45" t="s">
        <v>196</v>
      </c>
      <c r="E34" s="45" t="s">
        <v>189</v>
      </c>
      <c r="F34" s="45" t="s">
        <v>202</v>
      </c>
      <c r="G34" s="45" t="s">
        <v>183</v>
      </c>
      <c r="H34" s="45" t="s">
        <v>181</v>
      </c>
      <c r="I34" s="45" t="s">
        <v>185</v>
      </c>
      <c r="J34" s="46" t="s">
        <v>478</v>
      </c>
      <c r="K34" s="44" t="s">
        <v>422</v>
      </c>
      <c r="L34" s="85">
        <v>3.2</v>
      </c>
      <c r="M34" s="85">
        <v>2.4930300000000001</v>
      </c>
      <c r="N34" s="85">
        <v>3.2</v>
      </c>
      <c r="O34" s="85">
        <v>2.9</v>
      </c>
      <c r="P34" s="85">
        <v>3.4</v>
      </c>
      <c r="Q34" s="85">
        <v>3.5</v>
      </c>
    </row>
    <row r="35" spans="1:18" ht="102" x14ac:dyDescent="0.2">
      <c r="A35" s="44" t="s">
        <v>182</v>
      </c>
      <c r="B35" s="45"/>
      <c r="C35" s="45" t="s">
        <v>178</v>
      </c>
      <c r="D35" s="45" t="s">
        <v>196</v>
      </c>
      <c r="E35" s="45" t="s">
        <v>189</v>
      </c>
      <c r="F35" s="45" t="s">
        <v>203</v>
      </c>
      <c r="G35" s="45" t="s">
        <v>183</v>
      </c>
      <c r="H35" s="45" t="s">
        <v>181</v>
      </c>
      <c r="I35" s="45" t="s">
        <v>185</v>
      </c>
      <c r="J35" s="46" t="s">
        <v>204</v>
      </c>
      <c r="K35" s="44"/>
      <c r="L35" s="85">
        <f t="shared" ref="L35:Q35" si="8">L36</f>
        <v>554.4</v>
      </c>
      <c r="M35" s="85">
        <f t="shared" si="8"/>
        <v>492.36725999999999</v>
      </c>
      <c r="N35" s="85">
        <f t="shared" si="8"/>
        <v>675</v>
      </c>
      <c r="O35" s="85">
        <f t="shared" si="8"/>
        <v>633</v>
      </c>
      <c r="P35" s="85">
        <f t="shared" si="8"/>
        <v>665.4</v>
      </c>
      <c r="Q35" s="85">
        <f t="shared" si="8"/>
        <v>693.2</v>
      </c>
    </row>
    <row r="36" spans="1:18" ht="153" x14ac:dyDescent="0.2">
      <c r="A36" s="44" t="s">
        <v>182</v>
      </c>
      <c r="B36" s="45" t="s">
        <v>190</v>
      </c>
      <c r="C36" s="45" t="s">
        <v>178</v>
      </c>
      <c r="D36" s="45" t="s">
        <v>196</v>
      </c>
      <c r="E36" s="45" t="s">
        <v>189</v>
      </c>
      <c r="F36" s="45" t="s">
        <v>205</v>
      </c>
      <c r="G36" s="45" t="s">
        <v>183</v>
      </c>
      <c r="H36" s="45" t="s">
        <v>181</v>
      </c>
      <c r="I36" s="45" t="s">
        <v>185</v>
      </c>
      <c r="J36" s="46" t="s">
        <v>479</v>
      </c>
      <c r="K36" s="44" t="s">
        <v>422</v>
      </c>
      <c r="L36" s="85">
        <v>554.4</v>
      </c>
      <c r="M36" s="85">
        <v>492.36725999999999</v>
      </c>
      <c r="N36" s="85">
        <v>675</v>
      </c>
      <c r="O36" s="85">
        <v>633</v>
      </c>
      <c r="P36" s="85">
        <v>665.4</v>
      </c>
      <c r="Q36" s="85">
        <v>693.2</v>
      </c>
    </row>
    <row r="37" spans="1:18" ht="102" x14ac:dyDescent="0.2">
      <c r="A37" s="44" t="s">
        <v>182</v>
      </c>
      <c r="B37" s="45"/>
      <c r="C37" s="45" t="s">
        <v>178</v>
      </c>
      <c r="D37" s="45" t="s">
        <v>196</v>
      </c>
      <c r="E37" s="45" t="s">
        <v>189</v>
      </c>
      <c r="F37" s="45" t="s">
        <v>206</v>
      </c>
      <c r="G37" s="45" t="s">
        <v>183</v>
      </c>
      <c r="H37" s="45" t="s">
        <v>181</v>
      </c>
      <c r="I37" s="45" t="s">
        <v>185</v>
      </c>
      <c r="J37" s="46" t="s">
        <v>207</v>
      </c>
      <c r="K37" s="44"/>
      <c r="L37" s="85">
        <f t="shared" ref="L37:Q37" si="9">L38</f>
        <v>0</v>
      </c>
      <c r="M37" s="85">
        <f t="shared" si="9"/>
        <v>-54.285159999999998</v>
      </c>
      <c r="N37" s="85">
        <f t="shared" si="9"/>
        <v>-77.7</v>
      </c>
      <c r="O37" s="85">
        <f t="shared" si="9"/>
        <v>-75.900000000000006</v>
      </c>
      <c r="P37" s="85">
        <f t="shared" si="9"/>
        <v>-79.400000000000006</v>
      </c>
      <c r="Q37" s="85">
        <f t="shared" si="9"/>
        <v>-84.6</v>
      </c>
    </row>
    <row r="38" spans="1:18" ht="140.25" customHeight="1" x14ac:dyDescent="0.2">
      <c r="A38" s="44" t="s">
        <v>182</v>
      </c>
      <c r="B38" s="45" t="s">
        <v>190</v>
      </c>
      <c r="C38" s="45" t="s">
        <v>178</v>
      </c>
      <c r="D38" s="45" t="s">
        <v>196</v>
      </c>
      <c r="E38" s="45" t="s">
        <v>189</v>
      </c>
      <c r="F38" s="45" t="s">
        <v>208</v>
      </c>
      <c r="G38" s="45" t="s">
        <v>183</v>
      </c>
      <c r="H38" s="45" t="s">
        <v>181</v>
      </c>
      <c r="I38" s="45" t="s">
        <v>185</v>
      </c>
      <c r="J38" s="46" t="s">
        <v>480</v>
      </c>
      <c r="K38" s="44" t="s">
        <v>422</v>
      </c>
      <c r="L38" s="85">
        <v>0</v>
      </c>
      <c r="M38" s="85">
        <v>-54.285159999999998</v>
      </c>
      <c r="N38" s="85">
        <v>-77.7</v>
      </c>
      <c r="O38" s="85">
        <v>-75.900000000000006</v>
      </c>
      <c r="P38" s="85">
        <v>-79.400000000000006</v>
      </c>
      <c r="Q38" s="85">
        <v>-84.6</v>
      </c>
    </row>
    <row r="39" spans="1:18" ht="38.25" x14ac:dyDescent="0.2">
      <c r="A39" s="44" t="s">
        <v>182</v>
      </c>
      <c r="B39" s="45"/>
      <c r="C39" s="45" t="s">
        <v>178</v>
      </c>
      <c r="D39" s="45" t="s">
        <v>209</v>
      </c>
      <c r="E39" s="45" t="s">
        <v>179</v>
      </c>
      <c r="F39" s="45" t="s">
        <v>180</v>
      </c>
      <c r="G39" s="45" t="s">
        <v>179</v>
      </c>
      <c r="H39" s="45" t="s">
        <v>181</v>
      </c>
      <c r="I39" s="45" t="s">
        <v>180</v>
      </c>
      <c r="J39" s="46" t="s">
        <v>210</v>
      </c>
      <c r="K39" s="44"/>
      <c r="L39" s="85">
        <f t="shared" ref="L39:Q39" si="10">L40+L45+L48+L50</f>
        <v>457255</v>
      </c>
      <c r="M39" s="85">
        <f t="shared" si="10"/>
        <v>385167.60245000001</v>
      </c>
      <c r="N39" s="85">
        <f t="shared" si="10"/>
        <v>467415.6</v>
      </c>
      <c r="O39" s="85">
        <f t="shared" si="10"/>
        <v>427035</v>
      </c>
      <c r="P39" s="85">
        <f t="shared" si="10"/>
        <v>438936</v>
      </c>
      <c r="Q39" s="85">
        <f t="shared" si="10"/>
        <v>450419</v>
      </c>
    </row>
    <row r="40" spans="1:18" ht="38.25" x14ac:dyDescent="0.2">
      <c r="A40" s="44" t="s">
        <v>182</v>
      </c>
      <c r="B40" s="45"/>
      <c r="C40" s="45" t="s">
        <v>178</v>
      </c>
      <c r="D40" s="45" t="s">
        <v>209</v>
      </c>
      <c r="E40" s="45" t="s">
        <v>183</v>
      </c>
      <c r="F40" s="45" t="s">
        <v>180</v>
      </c>
      <c r="G40" s="45" t="s">
        <v>179</v>
      </c>
      <c r="H40" s="45" t="s">
        <v>181</v>
      </c>
      <c r="I40" s="45" t="s">
        <v>185</v>
      </c>
      <c r="J40" s="46" t="s">
        <v>211</v>
      </c>
      <c r="K40" s="44"/>
      <c r="L40" s="85">
        <f t="shared" ref="L40:Q40" si="11">L41+L43</f>
        <v>265200</v>
      </c>
      <c r="M40" s="85">
        <f t="shared" si="11"/>
        <v>211953.80300000001</v>
      </c>
      <c r="N40" s="85">
        <f>N41+N43</f>
        <v>288845.5</v>
      </c>
      <c r="O40" s="85">
        <f t="shared" si="11"/>
        <v>298000</v>
      </c>
      <c r="P40" s="85">
        <f t="shared" si="11"/>
        <v>306000</v>
      </c>
      <c r="Q40" s="85">
        <f t="shared" si="11"/>
        <v>315600</v>
      </c>
    </row>
    <row r="41" spans="1:18" ht="38.25" x14ac:dyDescent="0.2">
      <c r="A41" s="44" t="s">
        <v>182</v>
      </c>
      <c r="B41" s="45"/>
      <c r="C41" s="45" t="s">
        <v>178</v>
      </c>
      <c r="D41" s="45" t="s">
        <v>209</v>
      </c>
      <c r="E41" s="45" t="s">
        <v>183</v>
      </c>
      <c r="F41" s="45" t="s">
        <v>187</v>
      </c>
      <c r="G41" s="45" t="s">
        <v>183</v>
      </c>
      <c r="H41" s="45" t="s">
        <v>181</v>
      </c>
      <c r="I41" s="45" t="s">
        <v>185</v>
      </c>
      <c r="J41" s="46" t="s">
        <v>212</v>
      </c>
      <c r="K41" s="44"/>
      <c r="L41" s="85">
        <f t="shared" ref="L41:Q41" si="12">L42</f>
        <v>234947.3</v>
      </c>
      <c r="M41" s="85">
        <f t="shared" si="12"/>
        <v>181701.05916</v>
      </c>
      <c r="N41" s="85">
        <f t="shared" si="12"/>
        <v>244968.5</v>
      </c>
      <c r="O41" s="85">
        <f t="shared" si="12"/>
        <v>253250</v>
      </c>
      <c r="P41" s="85">
        <f t="shared" si="12"/>
        <v>260350</v>
      </c>
      <c r="Q41" s="85">
        <f t="shared" si="12"/>
        <v>269030</v>
      </c>
    </row>
    <row r="42" spans="1:18" ht="43.5" customHeight="1" x14ac:dyDescent="0.2">
      <c r="A42" s="44" t="s">
        <v>182</v>
      </c>
      <c r="B42" s="45" t="s">
        <v>190</v>
      </c>
      <c r="C42" s="45" t="s">
        <v>178</v>
      </c>
      <c r="D42" s="45" t="s">
        <v>209</v>
      </c>
      <c r="E42" s="45" t="s">
        <v>183</v>
      </c>
      <c r="F42" s="45" t="s">
        <v>213</v>
      </c>
      <c r="G42" s="45" t="s">
        <v>183</v>
      </c>
      <c r="H42" s="45" t="s">
        <v>181</v>
      </c>
      <c r="I42" s="45" t="s">
        <v>185</v>
      </c>
      <c r="J42" s="46" t="s">
        <v>517</v>
      </c>
      <c r="K42" s="44" t="s">
        <v>422</v>
      </c>
      <c r="L42" s="85">
        <v>234947.3</v>
      </c>
      <c r="M42" s="85">
        <v>181701.05916</v>
      </c>
      <c r="N42" s="85">
        <v>244968.5</v>
      </c>
      <c r="O42" s="85">
        <v>253250</v>
      </c>
      <c r="P42" s="85">
        <v>260350</v>
      </c>
      <c r="Q42" s="85">
        <v>269030</v>
      </c>
      <c r="R42" s="55"/>
    </row>
    <row r="43" spans="1:18" ht="56.25" customHeight="1" x14ac:dyDescent="0.2">
      <c r="A43" s="44" t="s">
        <v>182</v>
      </c>
      <c r="B43" s="45"/>
      <c r="C43" s="45" t="s">
        <v>178</v>
      </c>
      <c r="D43" s="45" t="s">
        <v>209</v>
      </c>
      <c r="E43" s="45" t="s">
        <v>183</v>
      </c>
      <c r="F43" s="45" t="s">
        <v>192</v>
      </c>
      <c r="G43" s="45" t="s">
        <v>183</v>
      </c>
      <c r="H43" s="45" t="s">
        <v>181</v>
      </c>
      <c r="I43" s="45" t="s">
        <v>185</v>
      </c>
      <c r="J43" s="46" t="s">
        <v>214</v>
      </c>
      <c r="K43" s="44"/>
      <c r="L43" s="85">
        <f t="shared" ref="L43:Q43" si="13">L44</f>
        <v>30252.7</v>
      </c>
      <c r="M43" s="85">
        <f t="shared" si="13"/>
        <v>30252.743839999999</v>
      </c>
      <c r="N43" s="85">
        <f t="shared" si="13"/>
        <v>43877</v>
      </c>
      <c r="O43" s="85">
        <f t="shared" si="13"/>
        <v>44750</v>
      </c>
      <c r="P43" s="85">
        <f t="shared" si="13"/>
        <v>45650</v>
      </c>
      <c r="Q43" s="85">
        <f t="shared" si="13"/>
        <v>46570</v>
      </c>
    </row>
    <row r="44" spans="1:18" ht="96" customHeight="1" x14ac:dyDescent="0.2">
      <c r="A44" s="44" t="s">
        <v>182</v>
      </c>
      <c r="B44" s="45" t="s">
        <v>190</v>
      </c>
      <c r="C44" s="45" t="s">
        <v>178</v>
      </c>
      <c r="D44" s="45" t="s">
        <v>209</v>
      </c>
      <c r="E44" s="45" t="s">
        <v>183</v>
      </c>
      <c r="F44" s="45" t="s">
        <v>215</v>
      </c>
      <c r="G44" s="45" t="s">
        <v>183</v>
      </c>
      <c r="H44" s="45" t="s">
        <v>181</v>
      </c>
      <c r="I44" s="45" t="s">
        <v>185</v>
      </c>
      <c r="J44" s="46" t="s">
        <v>518</v>
      </c>
      <c r="K44" s="44" t="s">
        <v>422</v>
      </c>
      <c r="L44" s="85">
        <v>30252.7</v>
      </c>
      <c r="M44" s="85">
        <v>30252.743839999999</v>
      </c>
      <c r="N44" s="85">
        <v>43877</v>
      </c>
      <c r="O44" s="85">
        <v>44750</v>
      </c>
      <c r="P44" s="85">
        <v>45650</v>
      </c>
      <c r="Q44" s="85">
        <v>46570</v>
      </c>
    </row>
    <row r="45" spans="1:18" ht="38.25" x14ac:dyDescent="0.2">
      <c r="A45" s="44" t="s">
        <v>182</v>
      </c>
      <c r="B45" s="45"/>
      <c r="C45" s="45" t="s">
        <v>178</v>
      </c>
      <c r="D45" s="45" t="s">
        <v>209</v>
      </c>
      <c r="E45" s="45" t="s">
        <v>189</v>
      </c>
      <c r="F45" s="45" t="s">
        <v>180</v>
      </c>
      <c r="G45" s="45" t="s">
        <v>189</v>
      </c>
      <c r="H45" s="45" t="s">
        <v>181</v>
      </c>
      <c r="I45" s="45" t="s">
        <v>185</v>
      </c>
      <c r="J45" s="46" t="s">
        <v>216</v>
      </c>
      <c r="K45" s="44"/>
      <c r="L45" s="85">
        <f t="shared" ref="L45:Q45" si="14">L46+L47</f>
        <v>0</v>
      </c>
      <c r="M45" s="85">
        <f t="shared" si="14"/>
        <v>-1171.4505899999999</v>
      </c>
      <c r="N45" s="85">
        <f t="shared" si="14"/>
        <v>-1199.9000000000001</v>
      </c>
      <c r="O45" s="85">
        <f t="shared" si="14"/>
        <v>0</v>
      </c>
      <c r="P45" s="85">
        <f t="shared" si="14"/>
        <v>0</v>
      </c>
      <c r="Q45" s="85">
        <f t="shared" si="14"/>
        <v>0</v>
      </c>
    </row>
    <row r="46" spans="1:18" ht="38.25" x14ac:dyDescent="0.2">
      <c r="A46" s="44" t="s">
        <v>182</v>
      </c>
      <c r="B46" s="45" t="s">
        <v>190</v>
      </c>
      <c r="C46" s="45" t="s">
        <v>178</v>
      </c>
      <c r="D46" s="45" t="s">
        <v>209</v>
      </c>
      <c r="E46" s="45" t="s">
        <v>189</v>
      </c>
      <c r="F46" s="45" t="s">
        <v>187</v>
      </c>
      <c r="G46" s="45" t="s">
        <v>189</v>
      </c>
      <c r="H46" s="45" t="s">
        <v>181</v>
      </c>
      <c r="I46" s="45" t="s">
        <v>185</v>
      </c>
      <c r="J46" s="46" t="s">
        <v>519</v>
      </c>
      <c r="K46" s="44" t="s">
        <v>422</v>
      </c>
      <c r="L46" s="85">
        <v>0</v>
      </c>
      <c r="M46" s="85">
        <v>-1171.59944</v>
      </c>
      <c r="N46" s="85">
        <v>-1200</v>
      </c>
      <c r="O46" s="85">
        <v>0</v>
      </c>
      <c r="P46" s="85">
        <v>0</v>
      </c>
      <c r="Q46" s="85">
        <v>0</v>
      </c>
    </row>
    <row r="47" spans="1:18" ht="51" x14ac:dyDescent="0.2">
      <c r="A47" s="44" t="s">
        <v>182</v>
      </c>
      <c r="B47" s="45" t="s">
        <v>190</v>
      </c>
      <c r="C47" s="45" t="s">
        <v>178</v>
      </c>
      <c r="D47" s="45" t="s">
        <v>209</v>
      </c>
      <c r="E47" s="45" t="s">
        <v>189</v>
      </c>
      <c r="F47" s="45" t="s">
        <v>192</v>
      </c>
      <c r="G47" s="45" t="s">
        <v>189</v>
      </c>
      <c r="H47" s="45" t="s">
        <v>181</v>
      </c>
      <c r="I47" s="45" t="s">
        <v>185</v>
      </c>
      <c r="J47" s="46" t="s">
        <v>520</v>
      </c>
      <c r="K47" s="44" t="s">
        <v>422</v>
      </c>
      <c r="L47" s="85">
        <v>0</v>
      </c>
      <c r="M47" s="85">
        <v>0.14885000000000001</v>
      </c>
      <c r="N47" s="85">
        <v>0.1</v>
      </c>
      <c r="O47" s="85">
        <v>0</v>
      </c>
      <c r="P47" s="85">
        <v>0</v>
      </c>
      <c r="Q47" s="85">
        <v>0</v>
      </c>
    </row>
    <row r="48" spans="1:18" ht="38.25" x14ac:dyDescent="0.2">
      <c r="A48" s="44" t="s">
        <v>182</v>
      </c>
      <c r="B48" s="45"/>
      <c r="C48" s="45" t="s">
        <v>178</v>
      </c>
      <c r="D48" s="45" t="s">
        <v>209</v>
      </c>
      <c r="E48" s="45" t="s">
        <v>196</v>
      </c>
      <c r="F48" s="45" t="s">
        <v>180</v>
      </c>
      <c r="G48" s="45" t="s">
        <v>183</v>
      </c>
      <c r="H48" s="45" t="s">
        <v>181</v>
      </c>
      <c r="I48" s="45" t="s">
        <v>185</v>
      </c>
      <c r="J48" s="46" t="s">
        <v>217</v>
      </c>
      <c r="K48" s="44"/>
      <c r="L48" s="85">
        <f>L49</f>
        <v>142800</v>
      </c>
      <c r="M48" s="85">
        <f t="shared" ref="M48:Q48" si="15">M49</f>
        <v>142791.47008999999</v>
      </c>
      <c r="N48" s="85">
        <f t="shared" si="15"/>
        <v>142870</v>
      </c>
      <c r="O48" s="85">
        <f t="shared" si="15"/>
        <v>76845</v>
      </c>
      <c r="P48" s="85">
        <f t="shared" si="15"/>
        <v>77613</v>
      </c>
      <c r="Q48" s="85">
        <f t="shared" si="15"/>
        <v>78389</v>
      </c>
    </row>
    <row r="49" spans="1:18" ht="38.25" x14ac:dyDescent="0.2">
      <c r="A49" s="44" t="s">
        <v>182</v>
      </c>
      <c r="B49" s="45" t="s">
        <v>190</v>
      </c>
      <c r="C49" s="45" t="s">
        <v>178</v>
      </c>
      <c r="D49" s="45" t="s">
        <v>209</v>
      </c>
      <c r="E49" s="45" t="s">
        <v>196</v>
      </c>
      <c r="F49" s="45" t="s">
        <v>187</v>
      </c>
      <c r="G49" s="45" t="s">
        <v>183</v>
      </c>
      <c r="H49" s="45" t="s">
        <v>181</v>
      </c>
      <c r="I49" s="45" t="s">
        <v>185</v>
      </c>
      <c r="J49" s="46" t="s">
        <v>521</v>
      </c>
      <c r="K49" s="44" t="s">
        <v>422</v>
      </c>
      <c r="L49" s="85">
        <v>142800</v>
      </c>
      <c r="M49" s="85">
        <v>142791.47008999999</v>
      </c>
      <c r="N49" s="85">
        <v>142870</v>
      </c>
      <c r="O49" s="85">
        <v>76845</v>
      </c>
      <c r="P49" s="85">
        <v>77613</v>
      </c>
      <c r="Q49" s="85">
        <v>78389</v>
      </c>
    </row>
    <row r="50" spans="1:18" ht="38.25" x14ac:dyDescent="0.2">
      <c r="A50" s="44" t="s">
        <v>182</v>
      </c>
      <c r="B50" s="45"/>
      <c r="C50" s="45" t="s">
        <v>178</v>
      </c>
      <c r="D50" s="45" t="s">
        <v>209</v>
      </c>
      <c r="E50" s="45" t="s">
        <v>218</v>
      </c>
      <c r="F50" s="45" t="s">
        <v>180</v>
      </c>
      <c r="G50" s="45" t="s">
        <v>189</v>
      </c>
      <c r="H50" s="45" t="s">
        <v>181</v>
      </c>
      <c r="I50" s="45" t="s">
        <v>185</v>
      </c>
      <c r="J50" s="46" t="s">
        <v>219</v>
      </c>
      <c r="K50" s="44"/>
      <c r="L50" s="85">
        <f t="shared" ref="L50:Q50" si="16">L51</f>
        <v>49255</v>
      </c>
      <c r="M50" s="85">
        <f t="shared" si="16"/>
        <v>31593.77995</v>
      </c>
      <c r="N50" s="85">
        <f t="shared" si="16"/>
        <v>36900</v>
      </c>
      <c r="O50" s="85">
        <f t="shared" si="16"/>
        <v>52190</v>
      </c>
      <c r="P50" s="85">
        <f t="shared" si="16"/>
        <v>55323</v>
      </c>
      <c r="Q50" s="85">
        <f t="shared" si="16"/>
        <v>56430</v>
      </c>
    </row>
    <row r="51" spans="1:18" ht="56.25" customHeight="1" x14ac:dyDescent="0.2">
      <c r="A51" s="44" t="s">
        <v>182</v>
      </c>
      <c r="B51" s="45" t="s">
        <v>190</v>
      </c>
      <c r="C51" s="45" t="s">
        <v>178</v>
      </c>
      <c r="D51" s="45" t="s">
        <v>209</v>
      </c>
      <c r="E51" s="45" t="s">
        <v>218</v>
      </c>
      <c r="F51" s="45" t="s">
        <v>192</v>
      </c>
      <c r="G51" s="45" t="s">
        <v>189</v>
      </c>
      <c r="H51" s="45" t="s">
        <v>181</v>
      </c>
      <c r="I51" s="45" t="s">
        <v>185</v>
      </c>
      <c r="J51" s="46" t="s">
        <v>522</v>
      </c>
      <c r="K51" s="44" t="s">
        <v>422</v>
      </c>
      <c r="L51" s="85">
        <v>49255</v>
      </c>
      <c r="M51" s="85">
        <v>31593.77995</v>
      </c>
      <c r="N51" s="85">
        <v>36900</v>
      </c>
      <c r="O51" s="85">
        <v>52190</v>
      </c>
      <c r="P51" s="85">
        <v>55323</v>
      </c>
      <c r="Q51" s="85">
        <v>56430</v>
      </c>
    </row>
    <row r="52" spans="1:18" ht="38.25" x14ac:dyDescent="0.2">
      <c r="A52" s="44" t="s">
        <v>182</v>
      </c>
      <c r="B52" s="45"/>
      <c r="C52" s="45" t="s">
        <v>178</v>
      </c>
      <c r="D52" s="45" t="s">
        <v>220</v>
      </c>
      <c r="E52" s="45" t="s">
        <v>179</v>
      </c>
      <c r="F52" s="45" t="s">
        <v>180</v>
      </c>
      <c r="G52" s="45" t="s">
        <v>179</v>
      </c>
      <c r="H52" s="45" t="s">
        <v>181</v>
      </c>
      <c r="I52" s="45" t="s">
        <v>180</v>
      </c>
      <c r="J52" s="46" t="s">
        <v>221</v>
      </c>
      <c r="K52" s="44"/>
      <c r="L52" s="85">
        <f t="shared" ref="L52:Q52" si="17">L53</f>
        <v>40663</v>
      </c>
      <c r="M52" s="85">
        <f t="shared" si="17"/>
        <v>31330.874490000002</v>
      </c>
      <c r="N52" s="85">
        <f t="shared" si="17"/>
        <v>39859</v>
      </c>
      <c r="O52" s="85">
        <f t="shared" si="17"/>
        <v>42261</v>
      </c>
      <c r="P52" s="85">
        <f t="shared" si="17"/>
        <v>43106</v>
      </c>
      <c r="Q52" s="85">
        <f t="shared" si="17"/>
        <v>43968</v>
      </c>
    </row>
    <row r="53" spans="1:18" ht="38.25" x14ac:dyDescent="0.2">
      <c r="A53" s="44" t="s">
        <v>182</v>
      </c>
      <c r="B53" s="45"/>
      <c r="C53" s="45" t="s">
        <v>178</v>
      </c>
      <c r="D53" s="45" t="s">
        <v>220</v>
      </c>
      <c r="E53" s="45" t="s">
        <v>189</v>
      </c>
      <c r="F53" s="45" t="s">
        <v>180</v>
      </c>
      <c r="G53" s="45" t="s">
        <v>189</v>
      </c>
      <c r="H53" s="45" t="s">
        <v>181</v>
      </c>
      <c r="I53" s="45" t="s">
        <v>185</v>
      </c>
      <c r="J53" s="46" t="s">
        <v>222</v>
      </c>
      <c r="K53" s="44"/>
      <c r="L53" s="85">
        <f>L54+L55</f>
        <v>40663</v>
      </c>
      <c r="M53" s="85">
        <f t="shared" ref="M53:Q53" si="18">M54+M55</f>
        <v>31330.874490000002</v>
      </c>
      <c r="N53" s="85">
        <f t="shared" si="18"/>
        <v>39859</v>
      </c>
      <c r="O53" s="85">
        <f t="shared" si="18"/>
        <v>42261</v>
      </c>
      <c r="P53" s="85">
        <f t="shared" si="18"/>
        <v>43106</v>
      </c>
      <c r="Q53" s="85">
        <f t="shared" si="18"/>
        <v>43968</v>
      </c>
    </row>
    <row r="54" spans="1:18" ht="38.25" x14ac:dyDescent="0.2">
      <c r="A54" s="44" t="s">
        <v>182</v>
      </c>
      <c r="B54" s="45" t="s">
        <v>190</v>
      </c>
      <c r="C54" s="45" t="s">
        <v>178</v>
      </c>
      <c r="D54" s="45" t="s">
        <v>220</v>
      </c>
      <c r="E54" s="45" t="s">
        <v>189</v>
      </c>
      <c r="F54" s="45" t="s">
        <v>187</v>
      </c>
      <c r="G54" s="45" t="s">
        <v>189</v>
      </c>
      <c r="H54" s="45" t="s">
        <v>181</v>
      </c>
      <c r="I54" s="45" t="s">
        <v>185</v>
      </c>
      <c r="J54" s="46" t="s">
        <v>523</v>
      </c>
      <c r="K54" s="44" t="s">
        <v>422</v>
      </c>
      <c r="L54" s="85">
        <v>40655.5</v>
      </c>
      <c r="M54" s="85">
        <v>31323.276030000001</v>
      </c>
      <c r="N54" s="85">
        <v>39851.4</v>
      </c>
      <c r="O54" s="85">
        <v>42261</v>
      </c>
      <c r="P54" s="85">
        <v>43106</v>
      </c>
      <c r="Q54" s="85">
        <v>43968</v>
      </c>
    </row>
    <row r="55" spans="1:18" ht="38.25" x14ac:dyDescent="0.2">
      <c r="A55" s="44" t="s">
        <v>182</v>
      </c>
      <c r="B55" s="45" t="s">
        <v>190</v>
      </c>
      <c r="C55" s="45" t="s">
        <v>178</v>
      </c>
      <c r="D55" s="45" t="s">
        <v>220</v>
      </c>
      <c r="E55" s="45" t="s">
        <v>189</v>
      </c>
      <c r="F55" s="45" t="s">
        <v>192</v>
      </c>
      <c r="G55" s="45" t="s">
        <v>189</v>
      </c>
      <c r="H55" s="45" t="s">
        <v>181</v>
      </c>
      <c r="I55" s="45" t="s">
        <v>185</v>
      </c>
      <c r="J55" s="46" t="s">
        <v>524</v>
      </c>
      <c r="K55" s="44" t="s">
        <v>422</v>
      </c>
      <c r="L55" s="85">
        <v>7.5</v>
      </c>
      <c r="M55" s="85">
        <v>7.5984600000000002</v>
      </c>
      <c r="N55" s="85">
        <v>7.6</v>
      </c>
      <c r="O55" s="85">
        <v>0</v>
      </c>
      <c r="P55" s="85">
        <v>0</v>
      </c>
      <c r="Q55" s="85">
        <v>0</v>
      </c>
    </row>
    <row r="56" spans="1:18" ht="38.25" x14ac:dyDescent="0.2">
      <c r="A56" s="44" t="s">
        <v>182</v>
      </c>
      <c r="B56" s="45"/>
      <c r="C56" s="45" t="s">
        <v>178</v>
      </c>
      <c r="D56" s="45" t="s">
        <v>223</v>
      </c>
      <c r="E56" s="45" t="s">
        <v>179</v>
      </c>
      <c r="F56" s="45" t="s">
        <v>180</v>
      </c>
      <c r="G56" s="45" t="s">
        <v>179</v>
      </c>
      <c r="H56" s="45" t="s">
        <v>181</v>
      </c>
      <c r="I56" s="45" t="s">
        <v>180</v>
      </c>
      <c r="J56" s="46" t="s">
        <v>224</v>
      </c>
      <c r="K56" s="44"/>
      <c r="L56" s="85">
        <f t="shared" ref="L56:Q56" si="19">L57+L59</f>
        <v>15519</v>
      </c>
      <c r="M56" s="85">
        <f t="shared" si="19"/>
        <v>13332.331029999999</v>
      </c>
      <c r="N56" s="85">
        <f t="shared" si="19"/>
        <v>15519</v>
      </c>
      <c r="O56" s="85">
        <f t="shared" si="19"/>
        <v>15672</v>
      </c>
      <c r="P56" s="85">
        <f t="shared" si="19"/>
        <v>15726</v>
      </c>
      <c r="Q56" s="85">
        <f t="shared" si="19"/>
        <v>15802</v>
      </c>
    </row>
    <row r="57" spans="1:18" ht="38.25" x14ac:dyDescent="0.2">
      <c r="A57" s="44" t="s">
        <v>182</v>
      </c>
      <c r="B57" s="45"/>
      <c r="C57" s="45" t="s">
        <v>178</v>
      </c>
      <c r="D57" s="45" t="s">
        <v>223</v>
      </c>
      <c r="E57" s="45" t="s">
        <v>196</v>
      </c>
      <c r="F57" s="45" t="s">
        <v>180</v>
      </c>
      <c r="G57" s="45" t="s">
        <v>183</v>
      </c>
      <c r="H57" s="45" t="s">
        <v>181</v>
      </c>
      <c r="I57" s="45" t="s">
        <v>185</v>
      </c>
      <c r="J57" s="46" t="s">
        <v>225</v>
      </c>
      <c r="K57" s="44"/>
      <c r="L57" s="85">
        <f t="shared" ref="L57:Q57" si="20">L58</f>
        <v>15334</v>
      </c>
      <c r="M57" s="85">
        <f t="shared" si="20"/>
        <v>13232.331029999999</v>
      </c>
      <c r="N57" s="85">
        <f t="shared" si="20"/>
        <v>15334</v>
      </c>
      <c r="O57" s="85">
        <f t="shared" si="20"/>
        <v>15487</v>
      </c>
      <c r="P57" s="85">
        <f t="shared" si="20"/>
        <v>15541</v>
      </c>
      <c r="Q57" s="85">
        <f t="shared" si="20"/>
        <v>15617</v>
      </c>
    </row>
    <row r="58" spans="1:18" ht="63.75" x14ac:dyDescent="0.2">
      <c r="A58" s="44" t="s">
        <v>182</v>
      </c>
      <c r="B58" s="45" t="s">
        <v>190</v>
      </c>
      <c r="C58" s="45" t="s">
        <v>178</v>
      </c>
      <c r="D58" s="45" t="s">
        <v>223</v>
      </c>
      <c r="E58" s="45" t="s">
        <v>196</v>
      </c>
      <c r="F58" s="45" t="s">
        <v>187</v>
      </c>
      <c r="G58" s="45" t="s">
        <v>183</v>
      </c>
      <c r="H58" s="45" t="s">
        <v>181</v>
      </c>
      <c r="I58" s="45" t="s">
        <v>185</v>
      </c>
      <c r="J58" s="46" t="s">
        <v>525</v>
      </c>
      <c r="K58" s="44" t="s">
        <v>422</v>
      </c>
      <c r="L58" s="85">
        <v>15334</v>
      </c>
      <c r="M58" s="85">
        <v>13232.331029999999</v>
      </c>
      <c r="N58" s="85">
        <v>15334</v>
      </c>
      <c r="O58" s="85">
        <v>15487</v>
      </c>
      <c r="P58" s="85">
        <v>15541</v>
      </c>
      <c r="Q58" s="85">
        <v>15617</v>
      </c>
    </row>
    <row r="59" spans="1:18" ht="51" x14ac:dyDescent="0.2">
      <c r="A59" s="44" t="s">
        <v>182</v>
      </c>
      <c r="B59" s="45"/>
      <c r="C59" s="45" t="s">
        <v>178</v>
      </c>
      <c r="D59" s="45" t="s">
        <v>223</v>
      </c>
      <c r="E59" s="45" t="s">
        <v>227</v>
      </c>
      <c r="F59" s="45" t="s">
        <v>180</v>
      </c>
      <c r="G59" s="45" t="s">
        <v>183</v>
      </c>
      <c r="H59" s="45" t="s">
        <v>181</v>
      </c>
      <c r="I59" s="45" t="s">
        <v>185</v>
      </c>
      <c r="J59" s="46" t="s">
        <v>228</v>
      </c>
      <c r="K59" s="44"/>
      <c r="L59" s="85">
        <f t="shared" ref="L59:Q59" si="21">L60</f>
        <v>185</v>
      </c>
      <c r="M59" s="85">
        <f t="shared" si="21"/>
        <v>100</v>
      </c>
      <c r="N59" s="85">
        <f t="shared" si="21"/>
        <v>185</v>
      </c>
      <c r="O59" s="85">
        <f t="shared" si="21"/>
        <v>185</v>
      </c>
      <c r="P59" s="85">
        <f t="shared" si="21"/>
        <v>185</v>
      </c>
      <c r="Q59" s="85">
        <f t="shared" si="21"/>
        <v>185</v>
      </c>
    </row>
    <row r="60" spans="1:18" ht="38.25" x14ac:dyDescent="0.2">
      <c r="A60" s="44" t="s">
        <v>182</v>
      </c>
      <c r="B60" s="45" t="s">
        <v>230</v>
      </c>
      <c r="C60" s="45" t="s">
        <v>178</v>
      </c>
      <c r="D60" s="45" t="s">
        <v>223</v>
      </c>
      <c r="E60" s="45" t="s">
        <v>227</v>
      </c>
      <c r="F60" s="45" t="s">
        <v>229</v>
      </c>
      <c r="G60" s="45" t="s">
        <v>183</v>
      </c>
      <c r="H60" s="45" t="s">
        <v>181</v>
      </c>
      <c r="I60" s="45" t="s">
        <v>185</v>
      </c>
      <c r="J60" s="46" t="s">
        <v>526</v>
      </c>
      <c r="K60" s="44" t="s">
        <v>426</v>
      </c>
      <c r="L60" s="85">
        <v>185</v>
      </c>
      <c r="M60" s="85">
        <v>100</v>
      </c>
      <c r="N60" s="85">
        <v>185</v>
      </c>
      <c r="O60" s="85">
        <v>185</v>
      </c>
      <c r="P60" s="85">
        <v>185</v>
      </c>
      <c r="Q60" s="85">
        <v>185</v>
      </c>
    </row>
    <row r="61" spans="1:18" s="56" customFormat="1" ht="38.25" x14ac:dyDescent="0.2">
      <c r="A61" s="44" t="s">
        <v>182</v>
      </c>
      <c r="B61" s="45"/>
      <c r="C61" s="45">
        <v>1</v>
      </c>
      <c r="D61" s="49" t="s">
        <v>232</v>
      </c>
      <c r="E61" s="45" t="s">
        <v>179</v>
      </c>
      <c r="F61" s="45" t="s">
        <v>180</v>
      </c>
      <c r="G61" s="45" t="s">
        <v>179</v>
      </c>
      <c r="H61" s="45" t="s">
        <v>181</v>
      </c>
      <c r="I61" s="45" t="s">
        <v>180</v>
      </c>
      <c r="J61" s="46" t="s">
        <v>469</v>
      </c>
      <c r="K61" s="44"/>
      <c r="L61" s="85">
        <f>L62</f>
        <v>0</v>
      </c>
      <c r="M61" s="85">
        <f t="shared" ref="M61:P63" si="22">M62</f>
        <v>5.0189999999999999E-2</v>
      </c>
      <c r="N61" s="85">
        <f t="shared" si="22"/>
        <v>0</v>
      </c>
      <c r="O61" s="85">
        <f t="shared" si="22"/>
        <v>0</v>
      </c>
      <c r="P61" s="85">
        <f t="shared" si="22"/>
        <v>0</v>
      </c>
      <c r="Q61" s="85">
        <f>Q62</f>
        <v>0</v>
      </c>
      <c r="R61" s="67"/>
    </row>
    <row r="62" spans="1:18" s="56" customFormat="1" ht="38.25" x14ac:dyDescent="0.2">
      <c r="A62" s="44" t="s">
        <v>182</v>
      </c>
      <c r="B62" s="45"/>
      <c r="C62" s="45">
        <v>1</v>
      </c>
      <c r="D62" s="49" t="s">
        <v>232</v>
      </c>
      <c r="E62" s="45" t="s">
        <v>227</v>
      </c>
      <c r="F62" s="45" t="s">
        <v>180</v>
      </c>
      <c r="G62" s="45" t="s">
        <v>179</v>
      </c>
      <c r="H62" s="45" t="s">
        <v>181</v>
      </c>
      <c r="I62" s="45" t="s">
        <v>185</v>
      </c>
      <c r="J62" s="46" t="s">
        <v>470</v>
      </c>
      <c r="K62" s="44"/>
      <c r="L62" s="85">
        <f>L63</f>
        <v>0</v>
      </c>
      <c r="M62" s="85">
        <f t="shared" si="22"/>
        <v>5.0189999999999999E-2</v>
      </c>
      <c r="N62" s="85">
        <f t="shared" si="22"/>
        <v>0</v>
      </c>
      <c r="O62" s="85">
        <f t="shared" si="22"/>
        <v>0</v>
      </c>
      <c r="P62" s="85">
        <f t="shared" si="22"/>
        <v>0</v>
      </c>
      <c r="Q62" s="85">
        <f>Q63</f>
        <v>0</v>
      </c>
      <c r="R62" s="67"/>
    </row>
    <row r="63" spans="1:18" s="56" customFormat="1" ht="51" x14ac:dyDescent="0.2">
      <c r="A63" s="44" t="s">
        <v>182</v>
      </c>
      <c r="B63" s="45"/>
      <c r="C63" s="45">
        <v>1</v>
      </c>
      <c r="D63" s="49" t="s">
        <v>232</v>
      </c>
      <c r="E63" s="45" t="s">
        <v>227</v>
      </c>
      <c r="F63" s="45" t="s">
        <v>193</v>
      </c>
      <c r="G63" s="45" t="s">
        <v>179</v>
      </c>
      <c r="H63" s="45" t="s">
        <v>181</v>
      </c>
      <c r="I63" s="45" t="s">
        <v>185</v>
      </c>
      <c r="J63" s="46" t="s">
        <v>471</v>
      </c>
      <c r="K63" s="44"/>
      <c r="L63" s="85">
        <f>L64</f>
        <v>0</v>
      </c>
      <c r="M63" s="85">
        <f t="shared" si="22"/>
        <v>5.0189999999999999E-2</v>
      </c>
      <c r="N63" s="85">
        <f t="shared" si="22"/>
        <v>0</v>
      </c>
      <c r="O63" s="85">
        <f t="shared" si="22"/>
        <v>0</v>
      </c>
      <c r="P63" s="85">
        <f t="shared" si="22"/>
        <v>0</v>
      </c>
      <c r="Q63" s="85">
        <f>Q64</f>
        <v>0</v>
      </c>
      <c r="R63" s="67"/>
    </row>
    <row r="64" spans="1:18" s="56" customFormat="1" ht="76.5" x14ac:dyDescent="0.2">
      <c r="A64" s="44" t="s">
        <v>182</v>
      </c>
      <c r="B64" s="45" t="s">
        <v>190</v>
      </c>
      <c r="C64" s="45">
        <v>1</v>
      </c>
      <c r="D64" s="49" t="s">
        <v>232</v>
      </c>
      <c r="E64" s="45" t="s">
        <v>227</v>
      </c>
      <c r="F64" s="49" t="s">
        <v>456</v>
      </c>
      <c r="G64" s="45" t="s">
        <v>209</v>
      </c>
      <c r="H64" s="45" t="s">
        <v>181</v>
      </c>
      <c r="I64" s="45" t="s">
        <v>185</v>
      </c>
      <c r="J64" s="46" t="s">
        <v>527</v>
      </c>
      <c r="K64" s="44" t="s">
        <v>422</v>
      </c>
      <c r="L64" s="85">
        <v>0</v>
      </c>
      <c r="M64" s="85">
        <v>5.0189999999999999E-2</v>
      </c>
      <c r="N64" s="85">
        <v>0</v>
      </c>
      <c r="O64" s="85">
        <v>0</v>
      </c>
      <c r="P64" s="85">
        <v>0</v>
      </c>
      <c r="Q64" s="85">
        <v>0</v>
      </c>
      <c r="R64" s="67"/>
    </row>
    <row r="65" spans="1:21" ht="38.25" x14ac:dyDescent="0.2">
      <c r="A65" s="44" t="s">
        <v>182</v>
      </c>
      <c r="B65" s="45"/>
      <c r="C65" s="45" t="s">
        <v>178</v>
      </c>
      <c r="D65" s="45" t="s">
        <v>168</v>
      </c>
      <c r="E65" s="45" t="s">
        <v>179</v>
      </c>
      <c r="F65" s="45" t="s">
        <v>180</v>
      </c>
      <c r="G65" s="45" t="s">
        <v>179</v>
      </c>
      <c r="H65" s="45" t="s">
        <v>181</v>
      </c>
      <c r="I65" s="45" t="s">
        <v>180</v>
      </c>
      <c r="J65" s="46" t="s">
        <v>234</v>
      </c>
      <c r="K65" s="44"/>
      <c r="L65" s="85">
        <f>L66+L68+L82+L85+L78</f>
        <v>133988.79999999999</v>
      </c>
      <c r="M65" s="85">
        <f t="shared" ref="M65:Q65" si="23">M66+M68+M82+M85+M78</f>
        <v>110992.41261999999</v>
      </c>
      <c r="N65" s="85">
        <f t="shared" si="23"/>
        <v>133996.20000000001</v>
      </c>
      <c r="O65" s="85">
        <f t="shared" si="23"/>
        <v>138739</v>
      </c>
      <c r="P65" s="85">
        <f t="shared" si="23"/>
        <v>143248.29999999999</v>
      </c>
      <c r="Q65" s="85">
        <f t="shared" si="23"/>
        <v>148082.59999999998</v>
      </c>
    </row>
    <row r="66" spans="1:21" ht="38.25" x14ac:dyDescent="0.2">
      <c r="A66" s="44" t="s">
        <v>182</v>
      </c>
      <c r="B66" s="45"/>
      <c r="C66" s="45" t="s">
        <v>178</v>
      </c>
      <c r="D66" s="45" t="s">
        <v>168</v>
      </c>
      <c r="E66" s="45" t="s">
        <v>196</v>
      </c>
      <c r="F66" s="45" t="s">
        <v>180</v>
      </c>
      <c r="G66" s="45" t="s">
        <v>179</v>
      </c>
      <c r="H66" s="45" t="s">
        <v>181</v>
      </c>
      <c r="I66" s="45" t="s">
        <v>235</v>
      </c>
      <c r="J66" s="46" t="s">
        <v>237</v>
      </c>
      <c r="K66" s="44"/>
      <c r="L66" s="85">
        <f t="shared" ref="L66:Q66" si="24">L67</f>
        <v>10.3</v>
      </c>
      <c r="M66" s="85">
        <f t="shared" si="24"/>
        <v>6.7780800000000001</v>
      </c>
      <c r="N66" s="85">
        <f t="shared" si="24"/>
        <v>10.3</v>
      </c>
      <c r="O66" s="85">
        <f t="shared" si="24"/>
        <v>0</v>
      </c>
      <c r="P66" s="85">
        <f t="shared" si="24"/>
        <v>0</v>
      </c>
      <c r="Q66" s="85">
        <f t="shared" si="24"/>
        <v>0</v>
      </c>
    </row>
    <row r="67" spans="1:21" ht="51" x14ac:dyDescent="0.2">
      <c r="A67" s="44" t="s">
        <v>182</v>
      </c>
      <c r="B67" s="45" t="s">
        <v>230</v>
      </c>
      <c r="C67" s="45" t="s">
        <v>178</v>
      </c>
      <c r="D67" s="45" t="s">
        <v>168</v>
      </c>
      <c r="E67" s="45" t="s">
        <v>196</v>
      </c>
      <c r="F67" s="45" t="s">
        <v>195</v>
      </c>
      <c r="G67" s="45" t="s">
        <v>209</v>
      </c>
      <c r="H67" s="45" t="s">
        <v>181</v>
      </c>
      <c r="I67" s="45" t="s">
        <v>235</v>
      </c>
      <c r="J67" s="46" t="s">
        <v>238</v>
      </c>
      <c r="K67" s="44" t="s">
        <v>426</v>
      </c>
      <c r="L67" s="85">
        <v>10.3</v>
      </c>
      <c r="M67" s="85">
        <v>6.7780800000000001</v>
      </c>
      <c r="N67" s="85">
        <v>10.3</v>
      </c>
      <c r="O67" s="85">
        <v>0</v>
      </c>
      <c r="P67" s="85">
        <v>0</v>
      </c>
      <c r="Q67" s="85">
        <v>0</v>
      </c>
    </row>
    <row r="68" spans="1:21" ht="114.75" x14ac:dyDescent="0.2">
      <c r="A68" s="44" t="s">
        <v>182</v>
      </c>
      <c r="B68" s="45"/>
      <c r="C68" s="45" t="s">
        <v>178</v>
      </c>
      <c r="D68" s="45" t="s">
        <v>168</v>
      </c>
      <c r="E68" s="45" t="s">
        <v>209</v>
      </c>
      <c r="F68" s="45" t="s">
        <v>180</v>
      </c>
      <c r="G68" s="45" t="s">
        <v>179</v>
      </c>
      <c r="H68" s="45" t="s">
        <v>181</v>
      </c>
      <c r="I68" s="45" t="s">
        <v>235</v>
      </c>
      <c r="J68" s="46" t="s">
        <v>239</v>
      </c>
      <c r="K68" s="44"/>
      <c r="L68" s="85">
        <f>L69+L72+L74+L76</f>
        <v>120877.09999999999</v>
      </c>
      <c r="M68" s="85">
        <f t="shared" ref="M68:Q68" si="25">M69+M72+M74+M76</f>
        <v>100058.51556</v>
      </c>
      <c r="N68" s="85">
        <f>N69+N72+N74+N76</f>
        <v>120869.4</v>
      </c>
      <c r="O68" s="85">
        <f t="shared" si="25"/>
        <v>128766.40000000001</v>
      </c>
      <c r="P68" s="85">
        <f t="shared" si="25"/>
        <v>133280</v>
      </c>
      <c r="Q68" s="85">
        <f t="shared" si="25"/>
        <v>137992.79999999999</v>
      </c>
      <c r="R68" s="55"/>
      <c r="S68" s="48"/>
      <c r="T68" s="48"/>
      <c r="U68" s="48"/>
    </row>
    <row r="69" spans="1:21" ht="80.25" customHeight="1" x14ac:dyDescent="0.2">
      <c r="A69" s="44" t="s">
        <v>182</v>
      </c>
      <c r="B69" s="45"/>
      <c r="C69" s="45" t="s">
        <v>178</v>
      </c>
      <c r="D69" s="45" t="s">
        <v>168</v>
      </c>
      <c r="E69" s="45" t="s">
        <v>209</v>
      </c>
      <c r="F69" s="45" t="s">
        <v>187</v>
      </c>
      <c r="G69" s="45" t="s">
        <v>179</v>
      </c>
      <c r="H69" s="45" t="s">
        <v>181</v>
      </c>
      <c r="I69" s="45" t="s">
        <v>235</v>
      </c>
      <c r="J69" s="46" t="s">
        <v>240</v>
      </c>
      <c r="K69" s="44"/>
      <c r="L69" s="85">
        <f>L70+L71</f>
        <v>92485</v>
      </c>
      <c r="M69" s="85">
        <f>M70+M71</f>
        <v>80042.740779999993</v>
      </c>
      <c r="N69" s="85">
        <f t="shared" ref="N69:Q69" si="26">N70+N71</f>
        <v>92485</v>
      </c>
      <c r="O69" s="85">
        <f t="shared" si="26"/>
        <v>100253.6</v>
      </c>
      <c r="P69" s="85">
        <f t="shared" si="26"/>
        <v>104638.39999999999</v>
      </c>
      <c r="Q69" s="85">
        <f t="shared" si="26"/>
        <v>109217.4</v>
      </c>
      <c r="R69" s="55"/>
    </row>
    <row r="70" spans="1:21" ht="117.75" customHeight="1" x14ac:dyDescent="0.2">
      <c r="A70" s="44" t="s">
        <v>182</v>
      </c>
      <c r="B70" s="45" t="s">
        <v>230</v>
      </c>
      <c r="C70" s="45" t="s">
        <v>178</v>
      </c>
      <c r="D70" s="45" t="s">
        <v>168</v>
      </c>
      <c r="E70" s="45" t="s">
        <v>209</v>
      </c>
      <c r="F70" s="45" t="s">
        <v>241</v>
      </c>
      <c r="G70" s="45" t="s">
        <v>209</v>
      </c>
      <c r="H70" s="45" t="s">
        <v>181</v>
      </c>
      <c r="I70" s="45" t="s">
        <v>235</v>
      </c>
      <c r="J70" s="46" t="s">
        <v>567</v>
      </c>
      <c r="K70" s="44" t="s">
        <v>426</v>
      </c>
      <c r="L70" s="85">
        <v>58443</v>
      </c>
      <c r="M70" s="85">
        <v>50124.792569999998</v>
      </c>
      <c r="N70" s="85">
        <v>58443</v>
      </c>
      <c r="O70" s="85">
        <v>62789.7</v>
      </c>
      <c r="P70" s="85">
        <v>65301.3</v>
      </c>
      <c r="Q70" s="85">
        <v>67913.399999999994</v>
      </c>
      <c r="R70" s="68"/>
    </row>
    <row r="71" spans="1:21" ht="102" x14ac:dyDescent="0.2">
      <c r="A71" s="44" t="s">
        <v>182</v>
      </c>
      <c r="B71" s="45" t="s">
        <v>242</v>
      </c>
      <c r="C71" s="45" t="s">
        <v>178</v>
      </c>
      <c r="D71" s="45" t="s">
        <v>168</v>
      </c>
      <c r="E71" s="45" t="s">
        <v>209</v>
      </c>
      <c r="F71" s="45" t="s">
        <v>241</v>
      </c>
      <c r="G71" s="45" t="s">
        <v>170</v>
      </c>
      <c r="H71" s="45" t="s">
        <v>181</v>
      </c>
      <c r="I71" s="45" t="s">
        <v>235</v>
      </c>
      <c r="J71" s="46" t="s">
        <v>528</v>
      </c>
      <c r="K71" s="44" t="s">
        <v>436</v>
      </c>
      <c r="L71" s="85">
        <v>34042</v>
      </c>
      <c r="M71" s="85">
        <v>29917.948209999999</v>
      </c>
      <c r="N71" s="85">
        <v>34042</v>
      </c>
      <c r="O71" s="85">
        <v>37463.9</v>
      </c>
      <c r="P71" s="85">
        <v>39337.1</v>
      </c>
      <c r="Q71" s="85">
        <v>41304</v>
      </c>
    </row>
    <row r="72" spans="1:21" ht="102" x14ac:dyDescent="0.2">
      <c r="A72" s="44" t="s">
        <v>182</v>
      </c>
      <c r="B72" s="45"/>
      <c r="C72" s="45" t="s">
        <v>178</v>
      </c>
      <c r="D72" s="45" t="s">
        <v>168</v>
      </c>
      <c r="E72" s="45" t="s">
        <v>209</v>
      </c>
      <c r="F72" s="45" t="s">
        <v>192</v>
      </c>
      <c r="G72" s="45" t="s">
        <v>179</v>
      </c>
      <c r="H72" s="45" t="s">
        <v>181</v>
      </c>
      <c r="I72" s="45" t="s">
        <v>235</v>
      </c>
      <c r="J72" s="46" t="s">
        <v>243</v>
      </c>
      <c r="K72" s="44"/>
      <c r="L72" s="85">
        <f t="shared" ref="L72:Q72" si="27">L73</f>
        <v>3386.9</v>
      </c>
      <c r="M72" s="85">
        <f t="shared" si="27"/>
        <v>2689.4454700000001</v>
      </c>
      <c r="N72" s="85">
        <f t="shared" si="27"/>
        <v>3386.9</v>
      </c>
      <c r="O72" s="85">
        <f t="shared" si="27"/>
        <v>3386.8</v>
      </c>
      <c r="P72" s="85">
        <f t="shared" si="27"/>
        <v>3515.6</v>
      </c>
      <c r="Q72" s="85">
        <f t="shared" si="27"/>
        <v>3649.4</v>
      </c>
    </row>
    <row r="73" spans="1:21" ht="91.5" customHeight="1" x14ac:dyDescent="0.2">
      <c r="A73" s="44" t="s">
        <v>182</v>
      </c>
      <c r="B73" s="45" t="s">
        <v>230</v>
      </c>
      <c r="C73" s="45" t="s">
        <v>178</v>
      </c>
      <c r="D73" s="45" t="s">
        <v>168</v>
      </c>
      <c r="E73" s="45" t="s">
        <v>209</v>
      </c>
      <c r="F73" s="45" t="s">
        <v>244</v>
      </c>
      <c r="G73" s="45" t="s">
        <v>209</v>
      </c>
      <c r="H73" s="45" t="s">
        <v>181</v>
      </c>
      <c r="I73" s="45" t="s">
        <v>235</v>
      </c>
      <c r="J73" s="46" t="s">
        <v>529</v>
      </c>
      <c r="K73" s="44" t="s">
        <v>426</v>
      </c>
      <c r="L73" s="85">
        <v>3386.9</v>
      </c>
      <c r="M73" s="85">
        <v>2689.4454700000001</v>
      </c>
      <c r="N73" s="85">
        <v>3386.9</v>
      </c>
      <c r="O73" s="85">
        <v>3386.8</v>
      </c>
      <c r="P73" s="85">
        <v>3515.6</v>
      </c>
      <c r="Q73" s="85">
        <v>3649.4</v>
      </c>
    </row>
    <row r="74" spans="1:21" ht="102.75" customHeight="1" x14ac:dyDescent="0.2">
      <c r="A74" s="44" t="s">
        <v>182</v>
      </c>
      <c r="B74" s="45"/>
      <c r="C74" s="45" t="s">
        <v>178</v>
      </c>
      <c r="D74" s="45" t="s">
        <v>168</v>
      </c>
      <c r="E74" s="45" t="s">
        <v>209</v>
      </c>
      <c r="F74" s="45" t="s">
        <v>193</v>
      </c>
      <c r="G74" s="45" t="s">
        <v>179</v>
      </c>
      <c r="H74" s="45" t="s">
        <v>181</v>
      </c>
      <c r="I74" s="45" t="s">
        <v>235</v>
      </c>
      <c r="J74" s="46" t="s">
        <v>481</v>
      </c>
      <c r="K74" s="44"/>
      <c r="L74" s="85">
        <f t="shared" ref="L74:Q74" si="28">L75</f>
        <v>49.2</v>
      </c>
      <c r="M74" s="85">
        <f t="shared" si="28"/>
        <v>35.824129999999997</v>
      </c>
      <c r="N74" s="85">
        <f t="shared" si="28"/>
        <v>53.7</v>
      </c>
      <c r="O74" s="85">
        <f t="shared" si="28"/>
        <v>66.7</v>
      </c>
      <c r="P74" s="85">
        <f t="shared" si="28"/>
        <v>66.7</v>
      </c>
      <c r="Q74" s="85">
        <f t="shared" si="28"/>
        <v>66.7</v>
      </c>
    </row>
    <row r="75" spans="1:21" ht="76.5" x14ac:dyDescent="0.2">
      <c r="A75" s="44" t="s">
        <v>182</v>
      </c>
      <c r="B75" s="45" t="s">
        <v>230</v>
      </c>
      <c r="C75" s="45" t="s">
        <v>178</v>
      </c>
      <c r="D75" s="45" t="s">
        <v>168</v>
      </c>
      <c r="E75" s="45" t="s">
        <v>209</v>
      </c>
      <c r="F75" s="45" t="s">
        <v>245</v>
      </c>
      <c r="G75" s="45" t="s">
        <v>209</v>
      </c>
      <c r="H75" s="45" t="s">
        <v>181</v>
      </c>
      <c r="I75" s="45" t="s">
        <v>235</v>
      </c>
      <c r="J75" s="46" t="s">
        <v>530</v>
      </c>
      <c r="K75" s="44" t="s">
        <v>426</v>
      </c>
      <c r="L75" s="85">
        <v>49.2</v>
      </c>
      <c r="M75" s="85">
        <v>35.824129999999997</v>
      </c>
      <c r="N75" s="85">
        <v>53.7</v>
      </c>
      <c r="O75" s="85">
        <v>66.7</v>
      </c>
      <c r="P75" s="85">
        <v>66.7</v>
      </c>
      <c r="Q75" s="85">
        <v>66.7</v>
      </c>
    </row>
    <row r="76" spans="1:21" ht="51" x14ac:dyDescent="0.2">
      <c r="A76" s="44" t="s">
        <v>182</v>
      </c>
      <c r="B76" s="45"/>
      <c r="C76" s="45" t="s">
        <v>178</v>
      </c>
      <c r="D76" s="45" t="s">
        <v>168</v>
      </c>
      <c r="E76" s="45" t="s">
        <v>209</v>
      </c>
      <c r="F76" s="45" t="s">
        <v>246</v>
      </c>
      <c r="G76" s="45" t="s">
        <v>179</v>
      </c>
      <c r="H76" s="45" t="s">
        <v>181</v>
      </c>
      <c r="I76" s="45" t="s">
        <v>235</v>
      </c>
      <c r="J76" s="46" t="s">
        <v>247</v>
      </c>
      <c r="K76" s="44"/>
      <c r="L76" s="85">
        <f t="shared" ref="L76:Q76" si="29">L77</f>
        <v>24956</v>
      </c>
      <c r="M76" s="85">
        <f t="shared" si="29"/>
        <v>17290.50518</v>
      </c>
      <c r="N76" s="85">
        <f t="shared" si="29"/>
        <v>24943.8</v>
      </c>
      <c r="O76" s="85">
        <f t="shared" si="29"/>
        <v>25059.3</v>
      </c>
      <c r="P76" s="85">
        <f t="shared" si="29"/>
        <v>25059.3</v>
      </c>
      <c r="Q76" s="85">
        <f t="shared" si="29"/>
        <v>25059.3</v>
      </c>
    </row>
    <row r="77" spans="1:21" ht="51" x14ac:dyDescent="0.2">
      <c r="A77" s="44" t="s">
        <v>182</v>
      </c>
      <c r="B77" s="45" t="s">
        <v>230</v>
      </c>
      <c r="C77" s="45" t="s">
        <v>178</v>
      </c>
      <c r="D77" s="45" t="s">
        <v>168</v>
      </c>
      <c r="E77" s="45" t="s">
        <v>209</v>
      </c>
      <c r="F77" s="45" t="s">
        <v>248</v>
      </c>
      <c r="G77" s="45" t="s">
        <v>209</v>
      </c>
      <c r="H77" s="45" t="s">
        <v>181</v>
      </c>
      <c r="I77" s="45" t="s">
        <v>235</v>
      </c>
      <c r="J77" s="46" t="s">
        <v>249</v>
      </c>
      <c r="K77" s="44" t="s">
        <v>426</v>
      </c>
      <c r="L77" s="85">
        <v>24956</v>
      </c>
      <c r="M77" s="85">
        <v>17290.50518</v>
      </c>
      <c r="N77" s="85">
        <v>24943.8</v>
      </c>
      <c r="O77" s="85">
        <v>25059.3</v>
      </c>
      <c r="P77" s="85">
        <v>25059.3</v>
      </c>
      <c r="Q77" s="85">
        <v>25059.3</v>
      </c>
    </row>
    <row r="78" spans="1:21" ht="51" x14ac:dyDescent="0.2">
      <c r="A78" s="44" t="s">
        <v>182</v>
      </c>
      <c r="B78" s="45"/>
      <c r="C78" s="45" t="s">
        <v>178</v>
      </c>
      <c r="D78" s="45" t="s">
        <v>168</v>
      </c>
      <c r="E78" s="45" t="s">
        <v>209</v>
      </c>
      <c r="F78" s="45" t="s">
        <v>250</v>
      </c>
      <c r="G78" s="45" t="s">
        <v>179</v>
      </c>
      <c r="H78" s="45" t="s">
        <v>181</v>
      </c>
      <c r="I78" s="45" t="s">
        <v>235</v>
      </c>
      <c r="J78" s="46" t="s">
        <v>251</v>
      </c>
      <c r="K78" s="44"/>
      <c r="L78" s="85">
        <f t="shared" ref="L78:Q78" si="30">L79</f>
        <v>596</v>
      </c>
      <c r="M78" s="85">
        <f t="shared" si="30"/>
        <v>479.87954000000002</v>
      </c>
      <c r="N78" s="85">
        <f t="shared" si="30"/>
        <v>611.1</v>
      </c>
      <c r="O78" s="85">
        <f t="shared" si="30"/>
        <v>372.5</v>
      </c>
      <c r="P78" s="85">
        <f t="shared" si="30"/>
        <v>587.4</v>
      </c>
      <c r="Q78" s="85">
        <f t="shared" si="30"/>
        <v>587.4</v>
      </c>
    </row>
    <row r="79" spans="1:21" ht="51" x14ac:dyDescent="0.2">
      <c r="A79" s="44" t="s">
        <v>182</v>
      </c>
      <c r="B79" s="45"/>
      <c r="C79" s="45" t="s">
        <v>178</v>
      </c>
      <c r="D79" s="45" t="s">
        <v>168</v>
      </c>
      <c r="E79" s="45" t="s">
        <v>209</v>
      </c>
      <c r="F79" s="45" t="s">
        <v>252</v>
      </c>
      <c r="G79" s="45" t="s">
        <v>179</v>
      </c>
      <c r="H79" s="45" t="s">
        <v>181</v>
      </c>
      <c r="I79" s="45" t="s">
        <v>235</v>
      </c>
      <c r="J79" s="46" t="s">
        <v>253</v>
      </c>
      <c r="K79" s="44"/>
      <c r="L79" s="85">
        <f>L80+L81</f>
        <v>596</v>
      </c>
      <c r="M79" s="85">
        <f t="shared" ref="M79:Q79" si="31">M80+M81</f>
        <v>479.87954000000002</v>
      </c>
      <c r="N79" s="85">
        <f t="shared" si="31"/>
        <v>611.1</v>
      </c>
      <c r="O79" s="85">
        <f t="shared" si="31"/>
        <v>372.5</v>
      </c>
      <c r="P79" s="85">
        <f t="shared" si="31"/>
        <v>587.4</v>
      </c>
      <c r="Q79" s="85">
        <f t="shared" si="31"/>
        <v>587.4</v>
      </c>
    </row>
    <row r="80" spans="1:21" ht="178.5" x14ac:dyDescent="0.2">
      <c r="A80" s="44" t="s">
        <v>182</v>
      </c>
      <c r="B80" s="45" t="s">
        <v>230</v>
      </c>
      <c r="C80" s="45" t="s">
        <v>178</v>
      </c>
      <c r="D80" s="45" t="s">
        <v>168</v>
      </c>
      <c r="E80" s="45" t="s">
        <v>209</v>
      </c>
      <c r="F80" s="45" t="s">
        <v>254</v>
      </c>
      <c r="G80" s="45" t="s">
        <v>209</v>
      </c>
      <c r="H80" s="45" t="s">
        <v>181</v>
      </c>
      <c r="I80" s="45" t="s">
        <v>235</v>
      </c>
      <c r="J80" s="46" t="s">
        <v>255</v>
      </c>
      <c r="K80" s="44" t="s">
        <v>426</v>
      </c>
      <c r="L80" s="85">
        <v>67.099999999999994</v>
      </c>
      <c r="M80" s="85">
        <v>67.114329999999995</v>
      </c>
      <c r="N80" s="85">
        <v>67.099999999999994</v>
      </c>
      <c r="O80" s="85">
        <v>43.4</v>
      </c>
      <c r="P80" s="85">
        <v>43.4</v>
      </c>
      <c r="Q80" s="85">
        <v>43.4</v>
      </c>
    </row>
    <row r="81" spans="1:18" ht="140.25" x14ac:dyDescent="0.2">
      <c r="A81" s="44" t="s">
        <v>182</v>
      </c>
      <c r="B81" s="45">
        <v>992</v>
      </c>
      <c r="C81" s="45" t="s">
        <v>178</v>
      </c>
      <c r="D81" s="45" t="s">
        <v>168</v>
      </c>
      <c r="E81" s="45" t="s">
        <v>209</v>
      </c>
      <c r="F81" s="49" t="s">
        <v>465</v>
      </c>
      <c r="G81" s="45">
        <v>13</v>
      </c>
      <c r="H81" s="45" t="s">
        <v>181</v>
      </c>
      <c r="I81" s="45" t="s">
        <v>235</v>
      </c>
      <c r="J81" s="46" t="s">
        <v>440</v>
      </c>
      <c r="K81" s="44" t="s">
        <v>436</v>
      </c>
      <c r="L81" s="85">
        <v>528.9</v>
      </c>
      <c r="M81" s="85">
        <v>412.76521000000002</v>
      </c>
      <c r="N81" s="85">
        <v>544</v>
      </c>
      <c r="O81" s="85">
        <v>329.1</v>
      </c>
      <c r="P81" s="85">
        <v>544</v>
      </c>
      <c r="Q81" s="85">
        <v>544</v>
      </c>
    </row>
    <row r="82" spans="1:18" ht="38.25" x14ac:dyDescent="0.2">
      <c r="A82" s="44" t="s">
        <v>182</v>
      </c>
      <c r="B82" s="45"/>
      <c r="C82" s="45" t="s">
        <v>178</v>
      </c>
      <c r="D82" s="45" t="s">
        <v>168</v>
      </c>
      <c r="E82" s="45" t="s">
        <v>227</v>
      </c>
      <c r="F82" s="45" t="s">
        <v>180</v>
      </c>
      <c r="G82" s="45" t="s">
        <v>179</v>
      </c>
      <c r="H82" s="45" t="s">
        <v>181</v>
      </c>
      <c r="I82" s="45" t="s">
        <v>235</v>
      </c>
      <c r="J82" s="46" t="s">
        <v>256</v>
      </c>
      <c r="K82" s="44"/>
      <c r="L82" s="85">
        <f t="shared" ref="L82:Q83" si="32">L83</f>
        <v>537.5</v>
      </c>
      <c r="M82" s="85">
        <f t="shared" si="32"/>
        <v>289.77215999999999</v>
      </c>
      <c r="N82" s="85">
        <f t="shared" si="32"/>
        <v>537.5</v>
      </c>
      <c r="O82" s="85">
        <f t="shared" si="32"/>
        <v>550</v>
      </c>
      <c r="P82" s="85">
        <f t="shared" si="32"/>
        <v>475</v>
      </c>
      <c r="Q82" s="85">
        <f t="shared" si="32"/>
        <v>500</v>
      </c>
    </row>
    <row r="83" spans="1:18" ht="63.75" x14ac:dyDescent="0.2">
      <c r="A83" s="44" t="s">
        <v>182</v>
      </c>
      <c r="B83" s="45"/>
      <c r="C83" s="45" t="s">
        <v>178</v>
      </c>
      <c r="D83" s="45" t="s">
        <v>168</v>
      </c>
      <c r="E83" s="45" t="s">
        <v>227</v>
      </c>
      <c r="F83" s="45" t="s">
        <v>187</v>
      </c>
      <c r="G83" s="45" t="s">
        <v>179</v>
      </c>
      <c r="H83" s="45" t="s">
        <v>181</v>
      </c>
      <c r="I83" s="45" t="s">
        <v>235</v>
      </c>
      <c r="J83" s="46" t="s">
        <v>417</v>
      </c>
      <c r="K83" s="44"/>
      <c r="L83" s="85">
        <f t="shared" si="32"/>
        <v>537.5</v>
      </c>
      <c r="M83" s="85">
        <f t="shared" si="32"/>
        <v>289.77215999999999</v>
      </c>
      <c r="N83" s="85">
        <f t="shared" si="32"/>
        <v>537.5</v>
      </c>
      <c r="O83" s="85">
        <f t="shared" si="32"/>
        <v>550</v>
      </c>
      <c r="P83" s="85">
        <f t="shared" si="32"/>
        <v>475</v>
      </c>
      <c r="Q83" s="85">
        <f t="shared" si="32"/>
        <v>500</v>
      </c>
    </row>
    <row r="84" spans="1:18" ht="63.75" x14ac:dyDescent="0.2">
      <c r="A84" s="44" t="s">
        <v>182</v>
      </c>
      <c r="B84" s="45" t="s">
        <v>230</v>
      </c>
      <c r="C84" s="45" t="s">
        <v>178</v>
      </c>
      <c r="D84" s="45" t="s">
        <v>168</v>
      </c>
      <c r="E84" s="45" t="s">
        <v>227</v>
      </c>
      <c r="F84" s="45" t="s">
        <v>257</v>
      </c>
      <c r="G84" s="45" t="s">
        <v>209</v>
      </c>
      <c r="H84" s="45" t="s">
        <v>181</v>
      </c>
      <c r="I84" s="45" t="s">
        <v>235</v>
      </c>
      <c r="J84" s="46" t="s">
        <v>258</v>
      </c>
      <c r="K84" s="44" t="s">
        <v>426</v>
      </c>
      <c r="L84" s="85">
        <v>537.5</v>
      </c>
      <c r="M84" s="85">
        <v>289.77215999999999</v>
      </c>
      <c r="N84" s="85">
        <v>537.5</v>
      </c>
      <c r="O84" s="85">
        <v>550</v>
      </c>
      <c r="P84" s="85">
        <v>475</v>
      </c>
      <c r="Q84" s="85">
        <v>500</v>
      </c>
    </row>
    <row r="85" spans="1:18" ht="102.75" customHeight="1" x14ac:dyDescent="0.2">
      <c r="A85" s="44" t="s">
        <v>182</v>
      </c>
      <c r="B85" s="45"/>
      <c r="C85" s="45" t="s">
        <v>178</v>
      </c>
      <c r="D85" s="45" t="s">
        <v>168</v>
      </c>
      <c r="E85" s="45" t="s">
        <v>232</v>
      </c>
      <c r="F85" s="45" t="s">
        <v>180</v>
      </c>
      <c r="G85" s="45" t="s">
        <v>179</v>
      </c>
      <c r="H85" s="45" t="s">
        <v>181</v>
      </c>
      <c r="I85" s="45" t="s">
        <v>235</v>
      </c>
      <c r="J85" s="46" t="s">
        <v>259</v>
      </c>
      <c r="K85" s="44"/>
      <c r="L85" s="85">
        <f>L86+L88</f>
        <v>11967.9</v>
      </c>
      <c r="M85" s="85">
        <f t="shared" ref="M85:Q85" si="33">M86+M88</f>
        <v>10157.467280000001</v>
      </c>
      <c r="N85" s="85">
        <f t="shared" si="33"/>
        <v>11967.9</v>
      </c>
      <c r="O85" s="85">
        <f t="shared" si="33"/>
        <v>9050.1</v>
      </c>
      <c r="P85" s="85">
        <f t="shared" si="33"/>
        <v>8905.9</v>
      </c>
      <c r="Q85" s="85">
        <f t="shared" si="33"/>
        <v>9002.4</v>
      </c>
    </row>
    <row r="86" spans="1:18" ht="101.25" customHeight="1" x14ac:dyDescent="0.2">
      <c r="A86" s="44" t="s">
        <v>182</v>
      </c>
      <c r="B86" s="45"/>
      <c r="C86" s="45" t="s">
        <v>178</v>
      </c>
      <c r="D86" s="45" t="s">
        <v>168</v>
      </c>
      <c r="E86" s="45" t="s">
        <v>232</v>
      </c>
      <c r="F86" s="45" t="s">
        <v>194</v>
      </c>
      <c r="G86" s="45" t="s">
        <v>179</v>
      </c>
      <c r="H86" s="45" t="s">
        <v>181</v>
      </c>
      <c r="I86" s="45" t="s">
        <v>235</v>
      </c>
      <c r="J86" s="46" t="s">
        <v>260</v>
      </c>
      <c r="K86" s="44"/>
      <c r="L86" s="85">
        <f t="shared" ref="L86:Q88" si="34">L87</f>
        <v>4100.8999999999996</v>
      </c>
      <c r="M86" s="85">
        <f t="shared" si="34"/>
        <v>3882.8672799999999</v>
      </c>
      <c r="N86" s="85">
        <f t="shared" si="34"/>
        <v>4100.8999999999996</v>
      </c>
      <c r="O86" s="85">
        <f t="shared" si="34"/>
        <v>691.7</v>
      </c>
      <c r="P86" s="85">
        <f t="shared" si="34"/>
        <v>517.5</v>
      </c>
      <c r="Q86" s="85">
        <f t="shared" si="34"/>
        <v>496</v>
      </c>
    </row>
    <row r="87" spans="1:18" ht="89.25" customHeight="1" x14ac:dyDescent="0.2">
      <c r="A87" s="44" t="s">
        <v>182</v>
      </c>
      <c r="B87" s="45" t="s">
        <v>230</v>
      </c>
      <c r="C87" s="45" t="s">
        <v>178</v>
      </c>
      <c r="D87" s="45" t="s">
        <v>168</v>
      </c>
      <c r="E87" s="45" t="s">
        <v>232</v>
      </c>
      <c r="F87" s="45" t="s">
        <v>261</v>
      </c>
      <c r="G87" s="45" t="s">
        <v>209</v>
      </c>
      <c r="H87" s="45" t="s">
        <v>181</v>
      </c>
      <c r="I87" s="45" t="s">
        <v>235</v>
      </c>
      <c r="J87" s="46" t="s">
        <v>531</v>
      </c>
      <c r="K87" s="44" t="s">
        <v>426</v>
      </c>
      <c r="L87" s="85">
        <v>4100.8999999999996</v>
      </c>
      <c r="M87" s="85">
        <v>3882.8672799999999</v>
      </c>
      <c r="N87" s="85">
        <v>4100.8999999999996</v>
      </c>
      <c r="O87" s="85">
        <v>691.7</v>
      </c>
      <c r="P87" s="85">
        <f>505.7+11.8</f>
        <v>517.5</v>
      </c>
      <c r="Q87" s="85">
        <f>494.6+1.4</f>
        <v>496</v>
      </c>
    </row>
    <row r="88" spans="1:18" ht="132" customHeight="1" x14ac:dyDescent="0.2">
      <c r="A88" s="44" t="s">
        <v>182</v>
      </c>
      <c r="B88" s="45"/>
      <c r="C88" s="45">
        <v>1</v>
      </c>
      <c r="D88" s="45" t="s">
        <v>168</v>
      </c>
      <c r="E88" s="45" t="s">
        <v>232</v>
      </c>
      <c r="F88" s="49" t="s">
        <v>236</v>
      </c>
      <c r="G88" s="45" t="s">
        <v>179</v>
      </c>
      <c r="H88" s="45" t="s">
        <v>181</v>
      </c>
      <c r="I88" s="45" t="s">
        <v>235</v>
      </c>
      <c r="J88" s="74" t="s">
        <v>441</v>
      </c>
      <c r="K88" s="44"/>
      <c r="L88" s="85">
        <f>L89</f>
        <v>7867</v>
      </c>
      <c r="M88" s="85">
        <f t="shared" si="34"/>
        <v>6274.6</v>
      </c>
      <c r="N88" s="85">
        <f t="shared" si="34"/>
        <v>7867</v>
      </c>
      <c r="O88" s="85">
        <f t="shared" si="34"/>
        <v>8358.4</v>
      </c>
      <c r="P88" s="85">
        <f t="shared" si="34"/>
        <v>8388.4</v>
      </c>
      <c r="Q88" s="85">
        <f t="shared" si="34"/>
        <v>8506.4</v>
      </c>
    </row>
    <row r="89" spans="1:18" ht="130.5" customHeight="1" x14ac:dyDescent="0.2">
      <c r="A89" s="44" t="s">
        <v>182</v>
      </c>
      <c r="B89" s="45" t="s">
        <v>230</v>
      </c>
      <c r="C89" s="45" t="s">
        <v>178</v>
      </c>
      <c r="D89" s="45" t="s">
        <v>168</v>
      </c>
      <c r="E89" s="45" t="s">
        <v>232</v>
      </c>
      <c r="F89" s="49" t="s">
        <v>236</v>
      </c>
      <c r="G89" s="45" t="s">
        <v>209</v>
      </c>
      <c r="H89" s="45" t="s">
        <v>181</v>
      </c>
      <c r="I89" s="45" t="s">
        <v>235</v>
      </c>
      <c r="J89" s="74" t="s">
        <v>532</v>
      </c>
      <c r="K89" s="44" t="s">
        <v>426</v>
      </c>
      <c r="L89" s="85">
        <v>7867</v>
      </c>
      <c r="M89" s="85">
        <v>6274.6</v>
      </c>
      <c r="N89" s="85">
        <f>6754.6+1112.4</f>
        <v>7867</v>
      </c>
      <c r="O89" s="85">
        <f>7246+1112.4</f>
        <v>8358.4</v>
      </c>
      <c r="P89" s="85">
        <f>7276+1112.4</f>
        <v>8388.4</v>
      </c>
      <c r="Q89" s="85">
        <f>7394+1112.4</f>
        <v>8506.4</v>
      </c>
      <c r="R89" s="55"/>
    </row>
    <row r="90" spans="1:18" ht="38.25" x14ac:dyDescent="0.2">
      <c r="A90" s="44" t="s">
        <v>182</v>
      </c>
      <c r="B90" s="45"/>
      <c r="C90" s="45" t="s">
        <v>178</v>
      </c>
      <c r="D90" s="45" t="s">
        <v>169</v>
      </c>
      <c r="E90" s="45" t="s">
        <v>179</v>
      </c>
      <c r="F90" s="45" t="s">
        <v>180</v>
      </c>
      <c r="G90" s="45" t="s">
        <v>179</v>
      </c>
      <c r="H90" s="45" t="s">
        <v>181</v>
      </c>
      <c r="I90" s="45" t="s">
        <v>180</v>
      </c>
      <c r="J90" s="46" t="s">
        <v>262</v>
      </c>
      <c r="K90" s="44"/>
      <c r="L90" s="85">
        <f>L91</f>
        <v>7349.4</v>
      </c>
      <c r="M90" s="85">
        <f>M91</f>
        <v>5518.3353499999994</v>
      </c>
      <c r="N90" s="85">
        <f t="shared" ref="N90:Q90" si="35">N91</f>
        <v>7349.4</v>
      </c>
      <c r="O90" s="85">
        <f t="shared" si="35"/>
        <v>7643.4000000000005</v>
      </c>
      <c r="P90" s="85">
        <f t="shared" si="35"/>
        <v>7949.1</v>
      </c>
      <c r="Q90" s="85">
        <f t="shared" si="35"/>
        <v>8267.1</v>
      </c>
    </row>
    <row r="91" spans="1:18" ht="38.25" x14ac:dyDescent="0.2">
      <c r="A91" s="44" t="s">
        <v>182</v>
      </c>
      <c r="B91" s="45"/>
      <c r="C91" s="45" t="s">
        <v>178</v>
      </c>
      <c r="D91" s="45" t="s">
        <v>169</v>
      </c>
      <c r="E91" s="45" t="s">
        <v>183</v>
      </c>
      <c r="F91" s="45" t="s">
        <v>180</v>
      </c>
      <c r="G91" s="45" t="s">
        <v>183</v>
      </c>
      <c r="H91" s="45" t="s">
        <v>181</v>
      </c>
      <c r="I91" s="45" t="s">
        <v>235</v>
      </c>
      <c r="J91" s="46" t="s">
        <v>263</v>
      </c>
      <c r="K91" s="44"/>
      <c r="L91" s="85">
        <f>L92+L93+L94</f>
        <v>7349.4</v>
      </c>
      <c r="M91" s="85">
        <f t="shared" ref="M91:Q91" si="36">M92+M93+M94</f>
        <v>5518.3353499999994</v>
      </c>
      <c r="N91" s="85">
        <f t="shared" si="36"/>
        <v>7349.4</v>
      </c>
      <c r="O91" s="85">
        <f t="shared" si="36"/>
        <v>7643.4000000000005</v>
      </c>
      <c r="P91" s="85">
        <f t="shared" si="36"/>
        <v>7949.1</v>
      </c>
      <c r="Q91" s="85">
        <f t="shared" si="36"/>
        <v>8267.1</v>
      </c>
    </row>
    <row r="92" spans="1:18" ht="38.25" x14ac:dyDescent="0.2">
      <c r="A92" s="44" t="s">
        <v>182</v>
      </c>
      <c r="B92" s="45" t="s">
        <v>264</v>
      </c>
      <c r="C92" s="45" t="s">
        <v>178</v>
      </c>
      <c r="D92" s="45" t="s">
        <v>169</v>
      </c>
      <c r="E92" s="45" t="s">
        <v>183</v>
      </c>
      <c r="F92" s="45" t="s">
        <v>187</v>
      </c>
      <c r="G92" s="45" t="s">
        <v>183</v>
      </c>
      <c r="H92" s="45" t="s">
        <v>181</v>
      </c>
      <c r="I92" s="45" t="s">
        <v>235</v>
      </c>
      <c r="J92" s="46" t="s">
        <v>533</v>
      </c>
      <c r="K92" s="44" t="s">
        <v>419</v>
      </c>
      <c r="L92" s="85">
        <v>941.8</v>
      </c>
      <c r="M92" s="85">
        <v>841.89572999999996</v>
      </c>
      <c r="N92" s="85">
        <v>941.8</v>
      </c>
      <c r="O92" s="85">
        <v>979.5</v>
      </c>
      <c r="P92" s="85">
        <v>1018.7</v>
      </c>
      <c r="Q92" s="85">
        <v>1059.4000000000001</v>
      </c>
    </row>
    <row r="93" spans="1:18" ht="38.25" x14ac:dyDescent="0.2">
      <c r="A93" s="44" t="s">
        <v>182</v>
      </c>
      <c r="B93" s="45" t="s">
        <v>264</v>
      </c>
      <c r="C93" s="45" t="s">
        <v>178</v>
      </c>
      <c r="D93" s="45" t="s">
        <v>169</v>
      </c>
      <c r="E93" s="45" t="s">
        <v>183</v>
      </c>
      <c r="F93" s="45" t="s">
        <v>193</v>
      </c>
      <c r="G93" s="45" t="s">
        <v>183</v>
      </c>
      <c r="H93" s="45" t="s">
        <v>181</v>
      </c>
      <c r="I93" s="45" t="s">
        <v>235</v>
      </c>
      <c r="J93" s="46" t="s">
        <v>534</v>
      </c>
      <c r="K93" s="44" t="s">
        <v>419</v>
      </c>
      <c r="L93" s="85">
        <v>1212.3</v>
      </c>
      <c r="M93" s="85">
        <v>1012.35678</v>
      </c>
      <c r="N93" s="85">
        <v>1212.3</v>
      </c>
      <c r="O93" s="85">
        <v>1260.8</v>
      </c>
      <c r="P93" s="85">
        <v>1311.2</v>
      </c>
      <c r="Q93" s="85">
        <v>1363.7</v>
      </c>
    </row>
    <row r="94" spans="1:18" ht="38.25" x14ac:dyDescent="0.2">
      <c r="A94" s="44" t="s">
        <v>182</v>
      </c>
      <c r="B94" s="45"/>
      <c r="C94" s="45" t="s">
        <v>178</v>
      </c>
      <c r="D94" s="45" t="s">
        <v>169</v>
      </c>
      <c r="E94" s="45" t="s">
        <v>183</v>
      </c>
      <c r="F94" s="45" t="s">
        <v>194</v>
      </c>
      <c r="G94" s="45" t="s">
        <v>183</v>
      </c>
      <c r="H94" s="45" t="s">
        <v>181</v>
      </c>
      <c r="I94" s="45" t="s">
        <v>235</v>
      </c>
      <c r="J94" s="46" t="s">
        <v>265</v>
      </c>
      <c r="K94" s="44"/>
      <c r="L94" s="85">
        <f>L95+L96</f>
        <v>5195.3</v>
      </c>
      <c r="M94" s="85">
        <f>M95+M96</f>
        <v>3664.08284</v>
      </c>
      <c r="N94" s="85">
        <f t="shared" ref="N94:Q94" si="37">N95+N96</f>
        <v>5195.3</v>
      </c>
      <c r="O94" s="85">
        <f t="shared" si="37"/>
        <v>5403.1</v>
      </c>
      <c r="P94" s="85">
        <f t="shared" si="37"/>
        <v>5619.2</v>
      </c>
      <c r="Q94" s="85">
        <f t="shared" si="37"/>
        <v>5844</v>
      </c>
    </row>
    <row r="95" spans="1:18" ht="38.25" x14ac:dyDescent="0.2">
      <c r="A95" s="44" t="s">
        <v>182</v>
      </c>
      <c r="B95" s="45" t="s">
        <v>264</v>
      </c>
      <c r="C95" s="45" t="s">
        <v>178</v>
      </c>
      <c r="D95" s="45" t="s">
        <v>169</v>
      </c>
      <c r="E95" s="45" t="s">
        <v>183</v>
      </c>
      <c r="F95" s="45" t="s">
        <v>266</v>
      </c>
      <c r="G95" s="45" t="s">
        <v>183</v>
      </c>
      <c r="H95" s="45" t="s">
        <v>181</v>
      </c>
      <c r="I95" s="45" t="s">
        <v>235</v>
      </c>
      <c r="J95" s="46" t="s">
        <v>535</v>
      </c>
      <c r="K95" s="44" t="s">
        <v>419</v>
      </c>
      <c r="L95" s="85">
        <v>1095.8</v>
      </c>
      <c r="M95" s="85">
        <v>995.85225000000003</v>
      </c>
      <c r="N95" s="85">
        <v>1095.8</v>
      </c>
      <c r="O95" s="85">
        <v>1139.5999999999999</v>
      </c>
      <c r="P95" s="85">
        <v>1185.2</v>
      </c>
      <c r="Q95" s="85">
        <v>1232.5999999999999</v>
      </c>
    </row>
    <row r="96" spans="1:18" ht="38.25" x14ac:dyDescent="0.2">
      <c r="A96" s="44" t="s">
        <v>182</v>
      </c>
      <c r="B96" s="45" t="s">
        <v>264</v>
      </c>
      <c r="C96" s="45" t="s">
        <v>178</v>
      </c>
      <c r="D96" s="45" t="s">
        <v>169</v>
      </c>
      <c r="E96" s="45" t="s">
        <v>183</v>
      </c>
      <c r="F96" s="45" t="s">
        <v>267</v>
      </c>
      <c r="G96" s="45" t="s">
        <v>183</v>
      </c>
      <c r="H96" s="45" t="s">
        <v>181</v>
      </c>
      <c r="I96" s="45" t="s">
        <v>235</v>
      </c>
      <c r="J96" s="46" t="s">
        <v>536</v>
      </c>
      <c r="K96" s="44" t="s">
        <v>419</v>
      </c>
      <c r="L96" s="85">
        <v>4099.5</v>
      </c>
      <c r="M96" s="85">
        <v>2668.2305900000001</v>
      </c>
      <c r="N96" s="85">
        <v>4099.5</v>
      </c>
      <c r="O96" s="85">
        <v>4263.5</v>
      </c>
      <c r="P96" s="85">
        <v>4434</v>
      </c>
      <c r="Q96" s="85">
        <v>4611.3999999999996</v>
      </c>
    </row>
    <row r="97" spans="1:18" ht="38.25" x14ac:dyDescent="0.2">
      <c r="A97" s="44" t="s">
        <v>182</v>
      </c>
      <c r="B97" s="45"/>
      <c r="C97" s="45" t="s">
        <v>178</v>
      </c>
      <c r="D97" s="45" t="s">
        <v>170</v>
      </c>
      <c r="E97" s="45" t="s">
        <v>179</v>
      </c>
      <c r="F97" s="45" t="s">
        <v>180</v>
      </c>
      <c r="G97" s="45" t="s">
        <v>179</v>
      </c>
      <c r="H97" s="45" t="s">
        <v>181</v>
      </c>
      <c r="I97" s="45" t="s">
        <v>180</v>
      </c>
      <c r="J97" s="46" t="s">
        <v>268</v>
      </c>
      <c r="K97" s="44"/>
      <c r="L97" s="85">
        <f t="shared" ref="L97:Q97" si="38">L98+L104</f>
        <v>6043.5916500000003</v>
      </c>
      <c r="M97" s="85">
        <f t="shared" si="38"/>
        <v>5033.8495599999997</v>
      </c>
      <c r="N97" s="85">
        <f>N98+N104</f>
        <v>6261.3573900000001</v>
      </c>
      <c r="O97" s="85">
        <f t="shared" si="38"/>
        <v>5129.3999999999996</v>
      </c>
      <c r="P97" s="85">
        <f t="shared" si="38"/>
        <v>5127.3999999999996</v>
      </c>
      <c r="Q97" s="85">
        <f t="shared" si="38"/>
        <v>5127.3999999999996</v>
      </c>
      <c r="R97" s="55"/>
    </row>
    <row r="98" spans="1:18" ht="38.25" x14ac:dyDescent="0.2">
      <c r="A98" s="44" t="s">
        <v>182</v>
      </c>
      <c r="B98" s="45"/>
      <c r="C98" s="45" t="s">
        <v>178</v>
      </c>
      <c r="D98" s="45" t="s">
        <v>170</v>
      </c>
      <c r="E98" s="45" t="s">
        <v>183</v>
      </c>
      <c r="F98" s="45" t="s">
        <v>180</v>
      </c>
      <c r="G98" s="45" t="s">
        <v>179</v>
      </c>
      <c r="H98" s="45" t="s">
        <v>181</v>
      </c>
      <c r="I98" s="45" t="s">
        <v>269</v>
      </c>
      <c r="J98" s="46" t="s">
        <v>270</v>
      </c>
      <c r="K98" s="44"/>
      <c r="L98" s="85">
        <f t="shared" ref="L98:Q98" si="39">L99+L101</f>
        <v>4646.8601900000003</v>
      </c>
      <c r="M98" s="85">
        <f t="shared" si="39"/>
        <v>3637.1180999999997</v>
      </c>
      <c r="N98" s="85">
        <f t="shared" si="39"/>
        <v>4835.5</v>
      </c>
      <c r="O98" s="85">
        <f t="shared" si="39"/>
        <v>4878.2</v>
      </c>
      <c r="P98" s="85">
        <f t="shared" si="39"/>
        <v>4876.2</v>
      </c>
      <c r="Q98" s="85">
        <f t="shared" si="39"/>
        <v>4876.2</v>
      </c>
    </row>
    <row r="99" spans="1:18" ht="38.25" x14ac:dyDescent="0.2">
      <c r="A99" s="44" t="s">
        <v>182</v>
      </c>
      <c r="B99" s="45"/>
      <c r="C99" s="45" t="s">
        <v>178</v>
      </c>
      <c r="D99" s="45" t="s">
        <v>170</v>
      </c>
      <c r="E99" s="45" t="s">
        <v>183</v>
      </c>
      <c r="F99" s="45" t="s">
        <v>246</v>
      </c>
      <c r="G99" s="45" t="s">
        <v>179</v>
      </c>
      <c r="H99" s="45" t="s">
        <v>181</v>
      </c>
      <c r="I99" s="45" t="s">
        <v>269</v>
      </c>
      <c r="J99" s="46" t="s">
        <v>271</v>
      </c>
      <c r="K99" s="44"/>
      <c r="L99" s="85">
        <f t="shared" ref="L99:Q99" si="40">L100</f>
        <v>1568.9014500000001</v>
      </c>
      <c r="M99" s="85">
        <f t="shared" si="40"/>
        <v>1568.9014500000001</v>
      </c>
      <c r="N99" s="85">
        <f t="shared" si="40"/>
        <v>1700</v>
      </c>
      <c r="O99" s="85">
        <f t="shared" si="40"/>
        <v>1500</v>
      </c>
      <c r="P99" s="85">
        <f t="shared" si="40"/>
        <v>1500</v>
      </c>
      <c r="Q99" s="85">
        <f t="shared" si="40"/>
        <v>1500</v>
      </c>
    </row>
    <row r="100" spans="1:18" ht="51" customHeight="1" x14ac:dyDescent="0.2">
      <c r="A100" s="44" t="s">
        <v>182</v>
      </c>
      <c r="B100" s="45" t="s">
        <v>230</v>
      </c>
      <c r="C100" s="45" t="s">
        <v>178</v>
      </c>
      <c r="D100" s="45" t="s">
        <v>170</v>
      </c>
      <c r="E100" s="45" t="s">
        <v>183</v>
      </c>
      <c r="F100" s="45" t="s">
        <v>248</v>
      </c>
      <c r="G100" s="45" t="s">
        <v>209</v>
      </c>
      <c r="H100" s="45" t="s">
        <v>181</v>
      </c>
      <c r="I100" s="45" t="s">
        <v>269</v>
      </c>
      <c r="J100" s="46" t="s">
        <v>272</v>
      </c>
      <c r="K100" s="44" t="s">
        <v>426</v>
      </c>
      <c r="L100" s="85">
        <v>1568.9014500000001</v>
      </c>
      <c r="M100" s="85">
        <v>1568.9014500000001</v>
      </c>
      <c r="N100" s="85">
        <v>1700</v>
      </c>
      <c r="O100" s="85">
        <v>1500</v>
      </c>
      <c r="P100" s="85">
        <v>1500</v>
      </c>
      <c r="Q100" s="85">
        <v>1500</v>
      </c>
    </row>
    <row r="101" spans="1:18" ht="38.25" x14ac:dyDescent="0.2">
      <c r="A101" s="44" t="s">
        <v>182</v>
      </c>
      <c r="B101" s="45"/>
      <c r="C101" s="45" t="s">
        <v>178</v>
      </c>
      <c r="D101" s="45" t="s">
        <v>170</v>
      </c>
      <c r="E101" s="45" t="s">
        <v>183</v>
      </c>
      <c r="F101" s="45" t="s">
        <v>273</v>
      </c>
      <c r="G101" s="45" t="s">
        <v>179</v>
      </c>
      <c r="H101" s="45" t="s">
        <v>181</v>
      </c>
      <c r="I101" s="45" t="s">
        <v>269</v>
      </c>
      <c r="J101" s="46" t="s">
        <v>274</v>
      </c>
      <c r="K101" s="44"/>
      <c r="L101" s="85">
        <f t="shared" ref="L101:Q101" si="41">L102+L103</f>
        <v>3077.95874</v>
      </c>
      <c r="M101" s="85">
        <f t="shared" si="41"/>
        <v>2068.2166499999998</v>
      </c>
      <c r="N101" s="85">
        <f t="shared" si="41"/>
        <v>3135.5</v>
      </c>
      <c r="O101" s="85">
        <f t="shared" si="41"/>
        <v>3378.2</v>
      </c>
      <c r="P101" s="85">
        <f t="shared" si="41"/>
        <v>3376.2</v>
      </c>
      <c r="Q101" s="85">
        <f t="shared" si="41"/>
        <v>3376.2</v>
      </c>
    </row>
    <row r="102" spans="1:18" ht="38.25" x14ac:dyDescent="0.2">
      <c r="A102" s="44" t="s">
        <v>182</v>
      </c>
      <c r="B102" s="45" t="s">
        <v>230</v>
      </c>
      <c r="C102" s="45" t="s">
        <v>178</v>
      </c>
      <c r="D102" s="45" t="s">
        <v>170</v>
      </c>
      <c r="E102" s="45" t="s">
        <v>183</v>
      </c>
      <c r="F102" s="45" t="s">
        <v>275</v>
      </c>
      <c r="G102" s="45" t="s">
        <v>209</v>
      </c>
      <c r="H102" s="45" t="s">
        <v>181</v>
      </c>
      <c r="I102" s="45" t="s">
        <v>269</v>
      </c>
      <c r="J102" s="46" t="s">
        <v>276</v>
      </c>
      <c r="K102" s="44" t="s">
        <v>426</v>
      </c>
      <c r="L102" s="85">
        <v>145.5</v>
      </c>
      <c r="M102" s="85">
        <v>2.7</v>
      </c>
      <c r="N102" s="85">
        <f>13.5+132</f>
        <v>145.5</v>
      </c>
      <c r="O102" s="85">
        <f>15.5+132</f>
        <v>147.5</v>
      </c>
      <c r="P102" s="85">
        <f t="shared" ref="P102:Q102" si="42">13.5+132</f>
        <v>145.5</v>
      </c>
      <c r="Q102" s="85">
        <f t="shared" si="42"/>
        <v>145.5</v>
      </c>
    </row>
    <row r="103" spans="1:18" ht="66" customHeight="1" x14ac:dyDescent="0.2">
      <c r="A103" s="44" t="s">
        <v>182</v>
      </c>
      <c r="B103" s="45" t="s">
        <v>277</v>
      </c>
      <c r="C103" s="45" t="s">
        <v>178</v>
      </c>
      <c r="D103" s="45" t="s">
        <v>170</v>
      </c>
      <c r="E103" s="45" t="s">
        <v>183</v>
      </c>
      <c r="F103" s="45" t="s">
        <v>275</v>
      </c>
      <c r="G103" s="45" t="s">
        <v>209</v>
      </c>
      <c r="H103" s="45" t="s">
        <v>181</v>
      </c>
      <c r="I103" s="45" t="s">
        <v>269</v>
      </c>
      <c r="J103" s="46" t="s">
        <v>276</v>
      </c>
      <c r="K103" s="44" t="s">
        <v>430</v>
      </c>
      <c r="L103" s="85">
        <v>2932.45874</v>
      </c>
      <c r="M103" s="85">
        <v>2065.51665</v>
      </c>
      <c r="N103" s="85">
        <f>1360+1250+280+100</f>
        <v>2990</v>
      </c>
      <c r="O103" s="85">
        <f>1264.8+1232.5+198.6+534.8</f>
        <v>3230.7</v>
      </c>
      <c r="P103" s="85">
        <f t="shared" ref="P103:Q103" si="43">1264.8+1232.5+198.6+534.8</f>
        <v>3230.7</v>
      </c>
      <c r="Q103" s="85">
        <f t="shared" si="43"/>
        <v>3230.7</v>
      </c>
      <c r="R103" s="55"/>
    </row>
    <row r="104" spans="1:18" ht="38.25" x14ac:dyDescent="0.2">
      <c r="A104" s="44" t="s">
        <v>182</v>
      </c>
      <c r="B104" s="45"/>
      <c r="C104" s="45" t="s">
        <v>178</v>
      </c>
      <c r="D104" s="45" t="s">
        <v>170</v>
      </c>
      <c r="E104" s="45" t="s">
        <v>189</v>
      </c>
      <c r="F104" s="45" t="s">
        <v>180</v>
      </c>
      <c r="G104" s="45" t="s">
        <v>179</v>
      </c>
      <c r="H104" s="45" t="s">
        <v>181</v>
      </c>
      <c r="I104" s="45" t="s">
        <v>269</v>
      </c>
      <c r="J104" s="46" t="s">
        <v>278</v>
      </c>
      <c r="K104" s="44"/>
      <c r="L104" s="85">
        <f>L105+L107</f>
        <v>1396.73146</v>
      </c>
      <c r="M104" s="85">
        <f t="shared" ref="M104:Q104" si="44">M105+M107</f>
        <v>1396.73146</v>
      </c>
      <c r="N104" s="85">
        <f t="shared" si="44"/>
        <v>1425.8573899999999</v>
      </c>
      <c r="O104" s="85">
        <f t="shared" si="44"/>
        <v>251.20000000000002</v>
      </c>
      <c r="P104" s="85">
        <f t="shared" si="44"/>
        <v>251.20000000000002</v>
      </c>
      <c r="Q104" s="85">
        <f t="shared" si="44"/>
        <v>251.20000000000002</v>
      </c>
    </row>
    <row r="105" spans="1:18" s="56" customFormat="1" ht="38.25" x14ac:dyDescent="0.2">
      <c r="A105" s="44" t="s">
        <v>182</v>
      </c>
      <c r="B105" s="45"/>
      <c r="C105" s="45" t="s">
        <v>178</v>
      </c>
      <c r="D105" s="45" t="s">
        <v>170</v>
      </c>
      <c r="E105" s="45" t="s">
        <v>189</v>
      </c>
      <c r="F105" s="49" t="s">
        <v>279</v>
      </c>
      <c r="G105" s="45" t="s">
        <v>179</v>
      </c>
      <c r="H105" s="45" t="s">
        <v>181</v>
      </c>
      <c r="I105" s="45" t="s">
        <v>269</v>
      </c>
      <c r="J105" s="46" t="s">
        <v>488</v>
      </c>
      <c r="K105" s="44"/>
      <c r="L105" s="85">
        <f>L106</f>
        <v>9.3528000000000002</v>
      </c>
      <c r="M105" s="85">
        <f t="shared" ref="M105:Q105" si="45">M106</f>
        <v>9.3528000000000002</v>
      </c>
      <c r="N105" s="85">
        <f t="shared" si="45"/>
        <v>24.9</v>
      </c>
      <c r="O105" s="85">
        <f t="shared" si="45"/>
        <v>12.4</v>
      </c>
      <c r="P105" s="85">
        <f t="shared" si="45"/>
        <v>12.4</v>
      </c>
      <c r="Q105" s="85">
        <f t="shared" si="45"/>
        <v>12.4</v>
      </c>
      <c r="R105" s="67"/>
    </row>
    <row r="106" spans="1:18" s="56" customFormat="1" ht="51" x14ac:dyDescent="0.2">
      <c r="A106" s="44" t="s">
        <v>182</v>
      </c>
      <c r="B106" s="45" t="s">
        <v>230</v>
      </c>
      <c r="C106" s="45" t="s">
        <v>178</v>
      </c>
      <c r="D106" s="45" t="s">
        <v>170</v>
      </c>
      <c r="E106" s="45" t="s">
        <v>189</v>
      </c>
      <c r="F106" s="49" t="s">
        <v>489</v>
      </c>
      <c r="G106" s="45" t="s">
        <v>209</v>
      </c>
      <c r="H106" s="45" t="s">
        <v>181</v>
      </c>
      <c r="I106" s="45" t="s">
        <v>269</v>
      </c>
      <c r="J106" s="46" t="s">
        <v>490</v>
      </c>
      <c r="K106" s="44" t="s">
        <v>426</v>
      </c>
      <c r="L106" s="85">
        <v>9.3528000000000002</v>
      </c>
      <c r="M106" s="85">
        <v>9.3528000000000002</v>
      </c>
      <c r="N106" s="85">
        <v>24.9</v>
      </c>
      <c r="O106" s="85">
        <v>12.4</v>
      </c>
      <c r="P106" s="85">
        <v>12.4</v>
      </c>
      <c r="Q106" s="85">
        <v>12.4</v>
      </c>
      <c r="R106" s="67"/>
    </row>
    <row r="107" spans="1:18" ht="38.25" x14ac:dyDescent="0.2">
      <c r="A107" s="44" t="s">
        <v>182</v>
      </c>
      <c r="B107" s="45"/>
      <c r="C107" s="45" t="s">
        <v>178</v>
      </c>
      <c r="D107" s="45" t="s">
        <v>170</v>
      </c>
      <c r="E107" s="45" t="s">
        <v>189</v>
      </c>
      <c r="F107" s="45" t="s">
        <v>273</v>
      </c>
      <c r="G107" s="45" t="s">
        <v>179</v>
      </c>
      <c r="H107" s="45" t="s">
        <v>181</v>
      </c>
      <c r="I107" s="45" t="s">
        <v>269</v>
      </c>
      <c r="J107" s="46" t="s">
        <v>280</v>
      </c>
      <c r="K107" s="44"/>
      <c r="L107" s="85">
        <f t="shared" ref="L107:Q107" si="46">SUM(L108:L116)</f>
        <v>1387.3786600000001</v>
      </c>
      <c r="M107" s="85">
        <f t="shared" si="46"/>
        <v>1387.3786600000001</v>
      </c>
      <c r="N107" s="85">
        <f t="shared" si="46"/>
        <v>1400.9573899999998</v>
      </c>
      <c r="O107" s="85">
        <f t="shared" si="46"/>
        <v>238.8</v>
      </c>
      <c r="P107" s="85">
        <f t="shared" si="46"/>
        <v>238.8</v>
      </c>
      <c r="Q107" s="85">
        <f t="shared" si="46"/>
        <v>238.8</v>
      </c>
      <c r="R107" s="55"/>
    </row>
    <row r="108" spans="1:18" ht="38.25" x14ac:dyDescent="0.2">
      <c r="A108" s="44" t="s">
        <v>182</v>
      </c>
      <c r="B108" s="45" t="s">
        <v>230</v>
      </c>
      <c r="C108" s="45" t="s">
        <v>178</v>
      </c>
      <c r="D108" s="45" t="s">
        <v>170</v>
      </c>
      <c r="E108" s="45" t="s">
        <v>189</v>
      </c>
      <c r="F108" s="45" t="s">
        <v>275</v>
      </c>
      <c r="G108" s="45" t="s">
        <v>209</v>
      </c>
      <c r="H108" s="45" t="s">
        <v>181</v>
      </c>
      <c r="I108" s="45" t="s">
        <v>269</v>
      </c>
      <c r="J108" s="46" t="s">
        <v>537</v>
      </c>
      <c r="K108" s="44" t="s">
        <v>426</v>
      </c>
      <c r="L108" s="85">
        <v>100.19676</v>
      </c>
      <c r="M108" s="85">
        <v>100.19676</v>
      </c>
      <c r="N108" s="85">
        <f>111.2+0.56574</f>
        <v>111.76574000000001</v>
      </c>
      <c r="O108" s="85">
        <v>111.2</v>
      </c>
      <c r="P108" s="85">
        <v>111.2</v>
      </c>
      <c r="Q108" s="85">
        <v>111.2</v>
      </c>
    </row>
    <row r="109" spans="1:18" ht="51" x14ac:dyDescent="0.2">
      <c r="A109" s="44" t="s">
        <v>182</v>
      </c>
      <c r="B109" s="45" t="s">
        <v>282</v>
      </c>
      <c r="C109" s="45" t="s">
        <v>178</v>
      </c>
      <c r="D109" s="45" t="s">
        <v>170</v>
      </c>
      <c r="E109" s="45" t="s">
        <v>189</v>
      </c>
      <c r="F109" s="45" t="s">
        <v>275</v>
      </c>
      <c r="G109" s="45" t="s">
        <v>209</v>
      </c>
      <c r="H109" s="45" t="s">
        <v>181</v>
      </c>
      <c r="I109" s="45" t="s">
        <v>269</v>
      </c>
      <c r="J109" s="46" t="s">
        <v>537</v>
      </c>
      <c r="K109" s="44" t="s">
        <v>427</v>
      </c>
      <c r="L109" s="85">
        <v>0.216</v>
      </c>
      <c r="M109" s="85">
        <v>0.216</v>
      </c>
      <c r="N109" s="85">
        <v>0.2</v>
      </c>
      <c r="O109" s="85">
        <v>0</v>
      </c>
      <c r="P109" s="85">
        <v>0</v>
      </c>
      <c r="Q109" s="85">
        <v>0</v>
      </c>
    </row>
    <row r="110" spans="1:18" ht="38.25" x14ac:dyDescent="0.2">
      <c r="A110" s="44" t="s">
        <v>182</v>
      </c>
      <c r="B110" s="45" t="s">
        <v>281</v>
      </c>
      <c r="C110" s="45" t="s">
        <v>178</v>
      </c>
      <c r="D110" s="45" t="s">
        <v>170</v>
      </c>
      <c r="E110" s="45" t="s">
        <v>189</v>
      </c>
      <c r="F110" s="45" t="s">
        <v>275</v>
      </c>
      <c r="G110" s="45" t="s">
        <v>209</v>
      </c>
      <c r="H110" s="45" t="s">
        <v>181</v>
      </c>
      <c r="I110" s="45" t="s">
        <v>269</v>
      </c>
      <c r="J110" s="46" t="s">
        <v>537</v>
      </c>
      <c r="K110" s="44" t="s">
        <v>429</v>
      </c>
      <c r="L110" s="85">
        <v>8.1927500000000002</v>
      </c>
      <c r="M110" s="85">
        <v>8.1927500000000002</v>
      </c>
      <c r="N110" s="85">
        <v>8.1999999999999993</v>
      </c>
      <c r="O110" s="85">
        <v>3.9</v>
      </c>
      <c r="P110" s="85">
        <v>3.9</v>
      </c>
      <c r="Q110" s="85">
        <v>3.9</v>
      </c>
    </row>
    <row r="111" spans="1:18" ht="66.75" customHeight="1" x14ac:dyDescent="0.2">
      <c r="A111" s="44" t="s">
        <v>182</v>
      </c>
      <c r="B111" s="45" t="s">
        <v>277</v>
      </c>
      <c r="C111" s="45" t="s">
        <v>178</v>
      </c>
      <c r="D111" s="45" t="s">
        <v>170</v>
      </c>
      <c r="E111" s="45" t="s">
        <v>189</v>
      </c>
      <c r="F111" s="45" t="s">
        <v>275</v>
      </c>
      <c r="G111" s="45" t="s">
        <v>209</v>
      </c>
      <c r="H111" s="45" t="s">
        <v>181</v>
      </c>
      <c r="I111" s="45" t="s">
        <v>269</v>
      </c>
      <c r="J111" s="46" t="s">
        <v>537</v>
      </c>
      <c r="K111" s="44" t="s">
        <v>430</v>
      </c>
      <c r="L111" s="85">
        <f>464.78464+616.39774</f>
        <v>1081.18238</v>
      </c>
      <c r="M111" s="85">
        <v>1081.18238</v>
      </c>
      <c r="N111" s="85">
        <f>464.78464+616.4</f>
        <v>1081.1846399999999</v>
      </c>
      <c r="O111" s="85">
        <v>45.5</v>
      </c>
      <c r="P111" s="85">
        <v>45.5</v>
      </c>
      <c r="Q111" s="85">
        <v>45.5</v>
      </c>
    </row>
    <row r="112" spans="1:18" ht="51" x14ac:dyDescent="0.2">
      <c r="A112" s="44" t="s">
        <v>182</v>
      </c>
      <c r="B112" s="45" t="s">
        <v>286</v>
      </c>
      <c r="C112" s="45" t="s">
        <v>178</v>
      </c>
      <c r="D112" s="45" t="s">
        <v>170</v>
      </c>
      <c r="E112" s="45" t="s">
        <v>189</v>
      </c>
      <c r="F112" s="45" t="s">
        <v>275</v>
      </c>
      <c r="G112" s="45" t="s">
        <v>209</v>
      </c>
      <c r="H112" s="45" t="s">
        <v>181</v>
      </c>
      <c r="I112" s="45" t="s">
        <v>269</v>
      </c>
      <c r="J112" s="46" t="s">
        <v>537</v>
      </c>
      <c r="K112" s="44" t="s">
        <v>431</v>
      </c>
      <c r="L112" s="85">
        <f>16.76158+15.0102+72.5</f>
        <v>104.27178000000001</v>
      </c>
      <c r="M112" s="85">
        <v>104.27178000000001</v>
      </c>
      <c r="N112" s="85">
        <f>31.77178+72.5</f>
        <v>104.27178000000001</v>
      </c>
      <c r="O112" s="85">
        <v>72.5</v>
      </c>
      <c r="P112" s="85">
        <v>72.5</v>
      </c>
      <c r="Q112" s="85">
        <v>72.5</v>
      </c>
    </row>
    <row r="113" spans="1:17" ht="41.25" customHeight="1" x14ac:dyDescent="0.2">
      <c r="A113" s="44" t="s">
        <v>182</v>
      </c>
      <c r="B113" s="45" t="s">
        <v>288</v>
      </c>
      <c r="C113" s="45" t="s">
        <v>178</v>
      </c>
      <c r="D113" s="45" t="s">
        <v>170</v>
      </c>
      <c r="E113" s="45" t="s">
        <v>189</v>
      </c>
      <c r="F113" s="45" t="s">
        <v>275</v>
      </c>
      <c r="G113" s="45" t="s">
        <v>209</v>
      </c>
      <c r="H113" s="45" t="s">
        <v>181</v>
      </c>
      <c r="I113" s="45" t="s">
        <v>269</v>
      </c>
      <c r="J113" s="46" t="s">
        <v>537</v>
      </c>
      <c r="K113" s="44" t="s">
        <v>432</v>
      </c>
      <c r="L113" s="85">
        <v>1.1807300000000001</v>
      </c>
      <c r="M113" s="85">
        <v>1.1807300000000001</v>
      </c>
      <c r="N113" s="85">
        <v>1.2</v>
      </c>
      <c r="O113" s="85">
        <v>0.5</v>
      </c>
      <c r="P113" s="85">
        <v>0.5</v>
      </c>
      <c r="Q113" s="85">
        <v>0.5</v>
      </c>
    </row>
    <row r="114" spans="1:17" ht="51" x14ac:dyDescent="0.2">
      <c r="A114" s="44" t="s">
        <v>182</v>
      </c>
      <c r="B114" s="45" t="s">
        <v>285</v>
      </c>
      <c r="C114" s="45" t="s">
        <v>178</v>
      </c>
      <c r="D114" s="45" t="s">
        <v>170</v>
      </c>
      <c r="E114" s="45" t="s">
        <v>189</v>
      </c>
      <c r="F114" s="45" t="s">
        <v>275</v>
      </c>
      <c r="G114" s="45" t="s">
        <v>209</v>
      </c>
      <c r="H114" s="45" t="s">
        <v>181</v>
      </c>
      <c r="I114" s="45" t="s">
        <v>269</v>
      </c>
      <c r="J114" s="46" t="s">
        <v>537</v>
      </c>
      <c r="K114" s="44" t="s">
        <v>433</v>
      </c>
      <c r="L114" s="85">
        <v>0.80652999999999997</v>
      </c>
      <c r="M114" s="85">
        <v>0.80652999999999997</v>
      </c>
      <c r="N114" s="85">
        <v>0.8</v>
      </c>
      <c r="O114" s="85">
        <v>0.1</v>
      </c>
      <c r="P114" s="85">
        <v>0.1</v>
      </c>
      <c r="Q114" s="85">
        <v>0.1</v>
      </c>
    </row>
    <row r="115" spans="1:17" ht="40.5" customHeight="1" x14ac:dyDescent="0.2">
      <c r="A115" s="44" t="s">
        <v>182</v>
      </c>
      <c r="B115" s="45" t="s">
        <v>284</v>
      </c>
      <c r="C115" s="45" t="s">
        <v>178</v>
      </c>
      <c r="D115" s="45" t="s">
        <v>170</v>
      </c>
      <c r="E115" s="45" t="s">
        <v>189</v>
      </c>
      <c r="F115" s="45" t="s">
        <v>275</v>
      </c>
      <c r="G115" s="45" t="s">
        <v>209</v>
      </c>
      <c r="H115" s="45" t="s">
        <v>181</v>
      </c>
      <c r="I115" s="45" t="s">
        <v>269</v>
      </c>
      <c r="J115" s="46" t="s">
        <v>537</v>
      </c>
      <c r="K115" s="44" t="s">
        <v>434</v>
      </c>
      <c r="L115" s="85">
        <v>3.0812499999999998</v>
      </c>
      <c r="M115" s="85">
        <v>3.0812499999999998</v>
      </c>
      <c r="N115" s="85">
        <v>5.0847499999999997</v>
      </c>
      <c r="O115" s="85">
        <v>5.0999999999999996</v>
      </c>
      <c r="P115" s="85">
        <v>5.0999999999999996</v>
      </c>
      <c r="Q115" s="85">
        <v>5.0999999999999996</v>
      </c>
    </row>
    <row r="116" spans="1:17" ht="51" x14ac:dyDescent="0.2">
      <c r="A116" s="44" t="s">
        <v>182</v>
      </c>
      <c r="B116" s="45" t="s">
        <v>283</v>
      </c>
      <c r="C116" s="45" t="s">
        <v>178</v>
      </c>
      <c r="D116" s="45" t="s">
        <v>170</v>
      </c>
      <c r="E116" s="45" t="s">
        <v>189</v>
      </c>
      <c r="F116" s="45" t="s">
        <v>275</v>
      </c>
      <c r="G116" s="45" t="s">
        <v>209</v>
      </c>
      <c r="H116" s="45" t="s">
        <v>181</v>
      </c>
      <c r="I116" s="45" t="s">
        <v>269</v>
      </c>
      <c r="J116" s="46" t="s">
        <v>537</v>
      </c>
      <c r="K116" s="44" t="s">
        <v>435</v>
      </c>
      <c r="L116" s="85">
        <f>14.98639+72.12138+1.14271</f>
        <v>88.250479999999996</v>
      </c>
      <c r="M116" s="85">
        <v>88.250479999999996</v>
      </c>
      <c r="N116" s="85">
        <f>88.25048</f>
        <v>88.250479999999996</v>
      </c>
      <c r="O116" s="85">
        <v>0</v>
      </c>
      <c r="P116" s="85">
        <v>0</v>
      </c>
      <c r="Q116" s="85">
        <v>0</v>
      </c>
    </row>
    <row r="117" spans="1:17" ht="38.25" x14ac:dyDescent="0.2">
      <c r="A117" s="44" t="s">
        <v>182</v>
      </c>
      <c r="B117" s="45"/>
      <c r="C117" s="45" t="s">
        <v>178</v>
      </c>
      <c r="D117" s="45" t="s">
        <v>171</v>
      </c>
      <c r="E117" s="45" t="s">
        <v>179</v>
      </c>
      <c r="F117" s="45" t="s">
        <v>180</v>
      </c>
      <c r="G117" s="45" t="s">
        <v>179</v>
      </c>
      <c r="H117" s="45" t="s">
        <v>181</v>
      </c>
      <c r="I117" s="45" t="s">
        <v>180</v>
      </c>
      <c r="J117" s="46" t="s">
        <v>289</v>
      </c>
      <c r="K117" s="44"/>
      <c r="L117" s="85">
        <f>L118+L124+L128</f>
        <v>34782.6</v>
      </c>
      <c r="M117" s="85">
        <f t="shared" ref="M117:Q117" si="47">M118+M124+M128</f>
        <v>22314.08394</v>
      </c>
      <c r="N117" s="85">
        <f t="shared" si="47"/>
        <v>29782.7</v>
      </c>
      <c r="O117" s="85">
        <f t="shared" si="47"/>
        <v>25242.400000000001</v>
      </c>
      <c r="P117" s="85">
        <f t="shared" si="47"/>
        <v>10068.900000000001</v>
      </c>
      <c r="Q117" s="85">
        <f t="shared" si="47"/>
        <v>9860.7000000000007</v>
      </c>
    </row>
    <row r="118" spans="1:17" ht="105.75" customHeight="1" x14ac:dyDescent="0.2">
      <c r="A118" s="44" t="s">
        <v>182</v>
      </c>
      <c r="B118" s="45"/>
      <c r="C118" s="45" t="s">
        <v>178</v>
      </c>
      <c r="D118" s="45" t="s">
        <v>171</v>
      </c>
      <c r="E118" s="45" t="s">
        <v>189</v>
      </c>
      <c r="F118" s="45" t="s">
        <v>180</v>
      </c>
      <c r="G118" s="45" t="s">
        <v>179</v>
      </c>
      <c r="H118" s="45" t="s">
        <v>181</v>
      </c>
      <c r="I118" s="45" t="s">
        <v>180</v>
      </c>
      <c r="J118" s="46" t="s">
        <v>291</v>
      </c>
      <c r="K118" s="44"/>
      <c r="L118" s="85">
        <f>L119+L122</f>
        <v>11408.1</v>
      </c>
      <c r="M118" s="85">
        <f t="shared" ref="M118:Q118" si="48">M119+M122</f>
        <v>6315.1139999999996</v>
      </c>
      <c r="N118" s="85">
        <f t="shared" si="48"/>
        <v>6408.1</v>
      </c>
      <c r="O118" s="85">
        <f t="shared" si="48"/>
        <v>16242.7</v>
      </c>
      <c r="P118" s="85">
        <f t="shared" si="48"/>
        <v>787.3</v>
      </c>
      <c r="Q118" s="85">
        <f t="shared" si="48"/>
        <v>283</v>
      </c>
    </row>
    <row r="119" spans="1:17" ht="118.5" customHeight="1" x14ac:dyDescent="0.2">
      <c r="A119" s="44" t="s">
        <v>182</v>
      </c>
      <c r="B119" s="45"/>
      <c r="C119" s="45" t="s">
        <v>178</v>
      </c>
      <c r="D119" s="45" t="s">
        <v>171</v>
      </c>
      <c r="E119" s="45" t="s">
        <v>189</v>
      </c>
      <c r="F119" s="45" t="s">
        <v>195</v>
      </c>
      <c r="G119" s="45" t="s">
        <v>209</v>
      </c>
      <c r="H119" s="45" t="s">
        <v>181</v>
      </c>
      <c r="I119" s="45" t="s">
        <v>290</v>
      </c>
      <c r="J119" s="46" t="s">
        <v>292</v>
      </c>
      <c r="K119" s="44"/>
      <c r="L119" s="85">
        <f>L120+L121</f>
        <v>11252.1</v>
      </c>
      <c r="M119" s="85">
        <f t="shared" ref="M119:Q119" si="49">M120+M121</f>
        <v>6159.1139999999996</v>
      </c>
      <c r="N119" s="85">
        <f t="shared" si="49"/>
        <v>6252.1</v>
      </c>
      <c r="O119" s="85">
        <f t="shared" si="49"/>
        <v>16242.7</v>
      </c>
      <c r="P119" s="85">
        <f t="shared" si="49"/>
        <v>787.3</v>
      </c>
      <c r="Q119" s="85">
        <f t="shared" si="49"/>
        <v>283</v>
      </c>
    </row>
    <row r="120" spans="1:17" ht="107.25" customHeight="1" x14ac:dyDescent="0.2">
      <c r="A120" s="44" t="s">
        <v>182</v>
      </c>
      <c r="B120" s="45" t="s">
        <v>230</v>
      </c>
      <c r="C120" s="45" t="s">
        <v>178</v>
      </c>
      <c r="D120" s="45" t="s">
        <v>171</v>
      </c>
      <c r="E120" s="45" t="s">
        <v>189</v>
      </c>
      <c r="F120" s="45" t="s">
        <v>293</v>
      </c>
      <c r="G120" s="45" t="s">
        <v>209</v>
      </c>
      <c r="H120" s="45" t="s">
        <v>181</v>
      </c>
      <c r="I120" s="45" t="s">
        <v>290</v>
      </c>
      <c r="J120" s="46" t="s">
        <v>294</v>
      </c>
      <c r="K120" s="44" t="s">
        <v>426</v>
      </c>
      <c r="L120" s="85">
        <v>36</v>
      </c>
      <c r="M120" s="85">
        <v>24</v>
      </c>
      <c r="N120" s="85">
        <v>36</v>
      </c>
      <c r="O120" s="85">
        <v>26.6</v>
      </c>
      <c r="P120" s="85">
        <v>0</v>
      </c>
      <c r="Q120" s="85">
        <v>0</v>
      </c>
    </row>
    <row r="121" spans="1:17" ht="122.25" customHeight="1" x14ac:dyDescent="0.2">
      <c r="A121" s="44" t="s">
        <v>182</v>
      </c>
      <c r="B121" s="45" t="s">
        <v>230</v>
      </c>
      <c r="C121" s="45" t="s">
        <v>178</v>
      </c>
      <c r="D121" s="45" t="s">
        <v>171</v>
      </c>
      <c r="E121" s="45" t="s">
        <v>189</v>
      </c>
      <c r="F121" s="45" t="s">
        <v>233</v>
      </c>
      <c r="G121" s="45" t="s">
        <v>209</v>
      </c>
      <c r="H121" s="45" t="s">
        <v>181</v>
      </c>
      <c r="I121" s="45" t="s">
        <v>290</v>
      </c>
      <c r="J121" s="46" t="s">
        <v>295</v>
      </c>
      <c r="K121" s="44" t="s">
        <v>426</v>
      </c>
      <c r="L121" s="85">
        <v>11216.1</v>
      </c>
      <c r="M121" s="85">
        <v>6135.1139999999996</v>
      </c>
      <c r="N121" s="85">
        <v>6216.1</v>
      </c>
      <c r="O121" s="85">
        <v>16216.1</v>
      </c>
      <c r="P121" s="85">
        <v>787.3</v>
      </c>
      <c r="Q121" s="85">
        <v>283</v>
      </c>
    </row>
    <row r="122" spans="1:17" ht="127.5" x14ac:dyDescent="0.2">
      <c r="A122" s="44" t="s">
        <v>182</v>
      </c>
      <c r="B122" s="45"/>
      <c r="C122" s="45" t="s">
        <v>178</v>
      </c>
      <c r="D122" s="45" t="s">
        <v>171</v>
      </c>
      <c r="E122" s="45" t="s">
        <v>189</v>
      </c>
      <c r="F122" s="45" t="s">
        <v>195</v>
      </c>
      <c r="G122" s="45" t="s">
        <v>209</v>
      </c>
      <c r="H122" s="45" t="s">
        <v>181</v>
      </c>
      <c r="I122" s="45">
        <v>440</v>
      </c>
      <c r="J122" s="46" t="s">
        <v>556</v>
      </c>
      <c r="K122" s="44"/>
      <c r="L122" s="85">
        <f>L123</f>
        <v>156</v>
      </c>
      <c r="M122" s="85">
        <f t="shared" ref="M122:Q122" si="50">M123</f>
        <v>156</v>
      </c>
      <c r="N122" s="85">
        <f t="shared" si="50"/>
        <v>156</v>
      </c>
      <c r="O122" s="85">
        <f t="shared" si="50"/>
        <v>0</v>
      </c>
      <c r="P122" s="85">
        <f t="shared" si="50"/>
        <v>0</v>
      </c>
      <c r="Q122" s="85">
        <f t="shared" si="50"/>
        <v>0</v>
      </c>
    </row>
    <row r="123" spans="1:17" ht="115.5" customHeight="1" x14ac:dyDescent="0.2">
      <c r="A123" s="44" t="s">
        <v>182</v>
      </c>
      <c r="B123" s="45" t="s">
        <v>286</v>
      </c>
      <c r="C123" s="45" t="s">
        <v>178</v>
      </c>
      <c r="D123" s="45" t="s">
        <v>171</v>
      </c>
      <c r="E123" s="45" t="s">
        <v>189</v>
      </c>
      <c r="F123" s="45" t="s">
        <v>293</v>
      </c>
      <c r="G123" s="45" t="s">
        <v>209</v>
      </c>
      <c r="H123" s="45" t="s">
        <v>181</v>
      </c>
      <c r="I123" s="45">
        <v>440</v>
      </c>
      <c r="J123" s="46" t="s">
        <v>557</v>
      </c>
      <c r="K123" s="44" t="s">
        <v>431</v>
      </c>
      <c r="L123" s="85">
        <v>156</v>
      </c>
      <c r="M123" s="85">
        <v>156</v>
      </c>
      <c r="N123" s="85">
        <v>156</v>
      </c>
      <c r="O123" s="85">
        <v>0</v>
      </c>
      <c r="P123" s="85">
        <v>0</v>
      </c>
      <c r="Q123" s="85">
        <v>0</v>
      </c>
    </row>
    <row r="124" spans="1:17" ht="38.25" x14ac:dyDescent="0.2">
      <c r="A124" s="44" t="s">
        <v>182</v>
      </c>
      <c r="B124" s="45"/>
      <c r="C124" s="45" t="s">
        <v>178</v>
      </c>
      <c r="D124" s="45" t="s">
        <v>171</v>
      </c>
      <c r="E124" s="45" t="s">
        <v>220</v>
      </c>
      <c r="F124" s="45" t="s">
        <v>180</v>
      </c>
      <c r="G124" s="45" t="s">
        <v>179</v>
      </c>
      <c r="H124" s="45" t="s">
        <v>181</v>
      </c>
      <c r="I124" s="45" t="s">
        <v>296</v>
      </c>
      <c r="J124" s="46" t="s">
        <v>297</v>
      </c>
      <c r="K124" s="44"/>
      <c r="L124" s="85">
        <f>L125</f>
        <v>21119.5</v>
      </c>
      <c r="M124" s="85">
        <f t="shared" ref="M124:Q124" si="51">M125</f>
        <v>13629.70685</v>
      </c>
      <c r="N124" s="85">
        <f t="shared" si="51"/>
        <v>20632.8</v>
      </c>
      <c r="O124" s="85">
        <f t="shared" si="51"/>
        <v>7097.9000000000005</v>
      </c>
      <c r="P124" s="85">
        <f t="shared" si="51"/>
        <v>7349.1</v>
      </c>
      <c r="Q124" s="85">
        <f t="shared" si="51"/>
        <v>7612.9000000000005</v>
      </c>
    </row>
    <row r="125" spans="1:17" ht="38.25" x14ac:dyDescent="0.2">
      <c r="A125" s="44" t="s">
        <v>182</v>
      </c>
      <c r="B125" s="45"/>
      <c r="C125" s="45" t="s">
        <v>178</v>
      </c>
      <c r="D125" s="45" t="s">
        <v>171</v>
      </c>
      <c r="E125" s="45" t="s">
        <v>220</v>
      </c>
      <c r="F125" s="45" t="s">
        <v>187</v>
      </c>
      <c r="G125" s="45" t="s">
        <v>179</v>
      </c>
      <c r="H125" s="45" t="s">
        <v>181</v>
      </c>
      <c r="I125" s="45" t="s">
        <v>296</v>
      </c>
      <c r="J125" s="46" t="s">
        <v>298</v>
      </c>
      <c r="K125" s="44"/>
      <c r="L125" s="85">
        <f t="shared" ref="L125:Q125" si="52">L126+L127</f>
        <v>21119.5</v>
      </c>
      <c r="M125" s="85">
        <f t="shared" si="52"/>
        <v>13629.70685</v>
      </c>
      <c r="N125" s="85">
        <f t="shared" si="52"/>
        <v>20632.8</v>
      </c>
      <c r="O125" s="85">
        <f t="shared" si="52"/>
        <v>7097.9000000000005</v>
      </c>
      <c r="P125" s="85">
        <f t="shared" si="52"/>
        <v>7349.1</v>
      </c>
      <c r="Q125" s="85">
        <f t="shared" si="52"/>
        <v>7612.9000000000005</v>
      </c>
    </row>
    <row r="126" spans="1:17" ht="78.75" customHeight="1" x14ac:dyDescent="0.2">
      <c r="A126" s="44" t="s">
        <v>182</v>
      </c>
      <c r="B126" s="45" t="s">
        <v>230</v>
      </c>
      <c r="C126" s="45" t="s">
        <v>178</v>
      </c>
      <c r="D126" s="45" t="s">
        <v>171</v>
      </c>
      <c r="E126" s="45" t="s">
        <v>220</v>
      </c>
      <c r="F126" s="45" t="s">
        <v>241</v>
      </c>
      <c r="G126" s="45" t="s">
        <v>209</v>
      </c>
      <c r="H126" s="45" t="s">
        <v>181</v>
      </c>
      <c r="I126" s="45" t="s">
        <v>296</v>
      </c>
      <c r="J126" s="46" t="s">
        <v>538</v>
      </c>
      <c r="K126" s="44" t="s">
        <v>426</v>
      </c>
      <c r="L126" s="85">
        <v>10564.1</v>
      </c>
      <c r="M126" s="85">
        <v>3074.2141900000001</v>
      </c>
      <c r="N126" s="85">
        <v>10077.299999999999</v>
      </c>
      <c r="O126" s="85">
        <v>2073.8000000000002</v>
      </c>
      <c r="P126" s="85">
        <v>2073.8000000000002</v>
      </c>
      <c r="Q126" s="85">
        <v>2073.8000000000002</v>
      </c>
    </row>
    <row r="127" spans="1:17" ht="53.25" customHeight="1" x14ac:dyDescent="0.2">
      <c r="A127" s="44" t="s">
        <v>182</v>
      </c>
      <c r="B127" s="45" t="s">
        <v>242</v>
      </c>
      <c r="C127" s="45" t="s">
        <v>178</v>
      </c>
      <c r="D127" s="45" t="s">
        <v>171</v>
      </c>
      <c r="E127" s="45" t="s">
        <v>220</v>
      </c>
      <c r="F127" s="45" t="s">
        <v>241</v>
      </c>
      <c r="G127" s="45" t="s">
        <v>170</v>
      </c>
      <c r="H127" s="45" t="s">
        <v>181</v>
      </c>
      <c r="I127" s="45" t="s">
        <v>296</v>
      </c>
      <c r="J127" s="46" t="s">
        <v>539</v>
      </c>
      <c r="K127" s="44" t="s">
        <v>436</v>
      </c>
      <c r="L127" s="85">
        <v>10555.4</v>
      </c>
      <c r="M127" s="85">
        <v>10555.49266</v>
      </c>
      <c r="N127" s="85">
        <v>10555.5</v>
      </c>
      <c r="O127" s="85">
        <v>5024.1000000000004</v>
      </c>
      <c r="P127" s="85">
        <v>5275.3</v>
      </c>
      <c r="Q127" s="85">
        <v>5539.1</v>
      </c>
    </row>
    <row r="128" spans="1:17" ht="90.75" customHeight="1" x14ac:dyDescent="0.2">
      <c r="A128" s="44" t="s">
        <v>182</v>
      </c>
      <c r="B128" s="45"/>
      <c r="C128" s="45" t="s">
        <v>178</v>
      </c>
      <c r="D128" s="45" t="s">
        <v>171</v>
      </c>
      <c r="E128" s="45" t="s">
        <v>220</v>
      </c>
      <c r="F128" s="45" t="s">
        <v>250</v>
      </c>
      <c r="G128" s="45" t="s">
        <v>179</v>
      </c>
      <c r="H128" s="45" t="s">
        <v>181</v>
      </c>
      <c r="I128" s="45" t="s">
        <v>296</v>
      </c>
      <c r="J128" s="46" t="s">
        <v>299</v>
      </c>
      <c r="K128" s="44"/>
      <c r="L128" s="85">
        <f t="shared" ref="L128:Q128" si="53">L129</f>
        <v>2255</v>
      </c>
      <c r="M128" s="85">
        <f t="shared" si="53"/>
        <v>2369.2630899999999</v>
      </c>
      <c r="N128" s="85">
        <f t="shared" si="53"/>
        <v>2741.8</v>
      </c>
      <c r="O128" s="85">
        <f t="shared" si="53"/>
        <v>1901.8000000000002</v>
      </c>
      <c r="P128" s="85">
        <f t="shared" si="53"/>
        <v>1932.5</v>
      </c>
      <c r="Q128" s="85">
        <f t="shared" si="53"/>
        <v>1964.8000000000002</v>
      </c>
    </row>
    <row r="129" spans="1:18" ht="91.5" customHeight="1" x14ac:dyDescent="0.2">
      <c r="A129" s="44" t="s">
        <v>182</v>
      </c>
      <c r="B129" s="45"/>
      <c r="C129" s="45" t="s">
        <v>178</v>
      </c>
      <c r="D129" s="45" t="s">
        <v>171</v>
      </c>
      <c r="E129" s="45" t="s">
        <v>220</v>
      </c>
      <c r="F129" s="45" t="s">
        <v>252</v>
      </c>
      <c r="G129" s="45" t="s">
        <v>179</v>
      </c>
      <c r="H129" s="45" t="s">
        <v>181</v>
      </c>
      <c r="I129" s="45" t="s">
        <v>296</v>
      </c>
      <c r="J129" s="46" t="s">
        <v>300</v>
      </c>
      <c r="K129" s="44"/>
      <c r="L129" s="85">
        <f>L130+L131</f>
        <v>2255</v>
      </c>
      <c r="M129" s="85">
        <f t="shared" ref="M129:Q129" si="54">M130+M131</f>
        <v>2369.2630899999999</v>
      </c>
      <c r="N129" s="85">
        <f t="shared" si="54"/>
        <v>2741.8</v>
      </c>
      <c r="O129" s="85">
        <f t="shared" si="54"/>
        <v>1901.8000000000002</v>
      </c>
      <c r="P129" s="85">
        <f t="shared" si="54"/>
        <v>1932.5</v>
      </c>
      <c r="Q129" s="85">
        <f t="shared" si="54"/>
        <v>1964.8000000000002</v>
      </c>
    </row>
    <row r="130" spans="1:18" ht="130.5" customHeight="1" x14ac:dyDescent="0.2">
      <c r="A130" s="44" t="s">
        <v>182</v>
      </c>
      <c r="B130" s="45" t="s">
        <v>230</v>
      </c>
      <c r="C130" s="45" t="s">
        <v>178</v>
      </c>
      <c r="D130" s="45" t="s">
        <v>171</v>
      </c>
      <c r="E130" s="45" t="s">
        <v>220</v>
      </c>
      <c r="F130" s="45" t="s">
        <v>254</v>
      </c>
      <c r="G130" s="45" t="s">
        <v>209</v>
      </c>
      <c r="H130" s="45" t="s">
        <v>181</v>
      </c>
      <c r="I130" s="45" t="s">
        <v>296</v>
      </c>
      <c r="J130" s="46" t="s">
        <v>301</v>
      </c>
      <c r="K130" s="44" t="s">
        <v>426</v>
      </c>
      <c r="L130" s="85">
        <v>1313.9</v>
      </c>
      <c r="M130" s="85">
        <v>1428.0659599999999</v>
      </c>
      <c r="N130" s="85">
        <v>1741.8</v>
      </c>
      <c r="O130" s="85">
        <v>1287.4000000000001</v>
      </c>
      <c r="P130" s="85">
        <v>1287.4000000000001</v>
      </c>
      <c r="Q130" s="85">
        <v>1287.4000000000001</v>
      </c>
    </row>
    <row r="131" spans="1:18" ht="114.75" x14ac:dyDescent="0.2">
      <c r="A131" s="44" t="s">
        <v>182</v>
      </c>
      <c r="B131" s="45" t="s">
        <v>242</v>
      </c>
      <c r="C131" s="45" t="s">
        <v>178</v>
      </c>
      <c r="D131" s="45" t="s">
        <v>171</v>
      </c>
      <c r="E131" s="45" t="s">
        <v>220</v>
      </c>
      <c r="F131" s="45" t="s">
        <v>254</v>
      </c>
      <c r="G131" s="45" t="s">
        <v>170</v>
      </c>
      <c r="H131" s="45" t="s">
        <v>181</v>
      </c>
      <c r="I131" s="45" t="s">
        <v>296</v>
      </c>
      <c r="J131" s="46" t="s">
        <v>442</v>
      </c>
      <c r="K131" s="44" t="s">
        <v>436</v>
      </c>
      <c r="L131" s="85">
        <v>941.1</v>
      </c>
      <c r="M131" s="85">
        <v>941.19713000000002</v>
      </c>
      <c r="N131" s="85">
        <v>1000</v>
      </c>
      <c r="O131" s="85">
        <v>614.4</v>
      </c>
      <c r="P131" s="85">
        <v>645.1</v>
      </c>
      <c r="Q131" s="85">
        <v>677.4</v>
      </c>
    </row>
    <row r="132" spans="1:18" ht="38.25" x14ac:dyDescent="0.2">
      <c r="A132" s="44" t="s">
        <v>182</v>
      </c>
      <c r="B132" s="45"/>
      <c r="C132" s="45" t="s">
        <v>178</v>
      </c>
      <c r="D132" s="45" t="s">
        <v>303</v>
      </c>
      <c r="E132" s="45" t="s">
        <v>179</v>
      </c>
      <c r="F132" s="45" t="s">
        <v>180</v>
      </c>
      <c r="G132" s="45" t="s">
        <v>179</v>
      </c>
      <c r="H132" s="45" t="s">
        <v>181</v>
      </c>
      <c r="I132" s="45" t="s">
        <v>180</v>
      </c>
      <c r="J132" s="46" t="s">
        <v>304</v>
      </c>
      <c r="K132" s="44"/>
      <c r="L132" s="85">
        <f t="shared" ref="L132:Q132" si="55">L133+L169+L180+L182+L196</f>
        <v>16500</v>
      </c>
      <c r="M132" s="85">
        <f t="shared" si="55"/>
        <v>12997.076770000001</v>
      </c>
      <c r="N132" s="85">
        <f t="shared" si="55"/>
        <v>17144.3</v>
      </c>
      <c r="O132" s="85">
        <f t="shared" si="55"/>
        <v>7104.2000000000007</v>
      </c>
      <c r="P132" s="85">
        <f t="shared" si="55"/>
        <v>6575.8</v>
      </c>
      <c r="Q132" s="85">
        <f t="shared" si="55"/>
        <v>6574.8</v>
      </c>
      <c r="R132" s="55"/>
    </row>
    <row r="133" spans="1:18" ht="51" x14ac:dyDescent="0.2">
      <c r="A133" s="44" t="s">
        <v>182</v>
      </c>
      <c r="B133" s="45"/>
      <c r="C133" s="45" t="s">
        <v>178</v>
      </c>
      <c r="D133" s="45" t="s">
        <v>303</v>
      </c>
      <c r="E133" s="45" t="s">
        <v>183</v>
      </c>
      <c r="F133" s="45" t="s">
        <v>180</v>
      </c>
      <c r="G133" s="45" t="s">
        <v>183</v>
      </c>
      <c r="H133" s="45" t="s">
        <v>181</v>
      </c>
      <c r="I133" s="45" t="s">
        <v>302</v>
      </c>
      <c r="J133" s="46" t="s">
        <v>305</v>
      </c>
      <c r="K133" s="44"/>
      <c r="L133" s="85">
        <f t="shared" ref="L133:Q133" si="56">L134+L137+L140+L144+L146+L148+L150+L152+L154+L156+L158+L160+L162+L166</f>
        <v>2883.8</v>
      </c>
      <c r="M133" s="85">
        <f t="shared" si="56"/>
        <v>1958.8434399999999</v>
      </c>
      <c r="N133" s="85">
        <f t="shared" si="56"/>
        <v>3181.2000000000003</v>
      </c>
      <c r="O133" s="85">
        <f t="shared" si="56"/>
        <v>3168</v>
      </c>
      <c r="P133" s="85">
        <f t="shared" si="56"/>
        <v>2642.9</v>
      </c>
      <c r="Q133" s="85">
        <f t="shared" si="56"/>
        <v>2643</v>
      </c>
    </row>
    <row r="134" spans="1:18" ht="76.5" x14ac:dyDescent="0.2">
      <c r="A134" s="44" t="s">
        <v>182</v>
      </c>
      <c r="B134" s="45"/>
      <c r="C134" s="45" t="s">
        <v>178</v>
      </c>
      <c r="D134" s="45" t="s">
        <v>303</v>
      </c>
      <c r="E134" s="45" t="s">
        <v>183</v>
      </c>
      <c r="F134" s="45" t="s">
        <v>195</v>
      </c>
      <c r="G134" s="45" t="s">
        <v>183</v>
      </c>
      <c r="H134" s="45" t="s">
        <v>181</v>
      </c>
      <c r="I134" s="45" t="s">
        <v>302</v>
      </c>
      <c r="J134" s="46" t="s">
        <v>306</v>
      </c>
      <c r="K134" s="44"/>
      <c r="L134" s="85">
        <f>L135+L136</f>
        <v>10.5</v>
      </c>
      <c r="M134" s="85">
        <f t="shared" ref="M134:Q134" si="57">M135+M136</f>
        <v>10.56733</v>
      </c>
      <c r="N134" s="85">
        <f t="shared" si="57"/>
        <v>47.3</v>
      </c>
      <c r="O134" s="85">
        <f t="shared" si="57"/>
        <v>47.3</v>
      </c>
      <c r="P134" s="85">
        <f t="shared" si="57"/>
        <v>47.3</v>
      </c>
      <c r="Q134" s="85">
        <f t="shared" si="57"/>
        <v>47.3</v>
      </c>
    </row>
    <row r="135" spans="1:18" ht="114.75" x14ac:dyDescent="0.2">
      <c r="A135" s="44" t="s">
        <v>182</v>
      </c>
      <c r="B135" s="45" t="s">
        <v>308</v>
      </c>
      <c r="C135" s="45" t="s">
        <v>178</v>
      </c>
      <c r="D135" s="45" t="s">
        <v>303</v>
      </c>
      <c r="E135" s="45" t="s">
        <v>183</v>
      </c>
      <c r="F135" s="45" t="s">
        <v>233</v>
      </c>
      <c r="G135" s="45" t="s">
        <v>183</v>
      </c>
      <c r="H135" s="45" t="s">
        <v>181</v>
      </c>
      <c r="I135" s="45" t="s">
        <v>302</v>
      </c>
      <c r="J135" s="46" t="s">
        <v>540</v>
      </c>
      <c r="K135" s="44" t="s">
        <v>425</v>
      </c>
      <c r="L135" s="85">
        <f>7.5+1.5</f>
        <v>9</v>
      </c>
      <c r="M135" s="85">
        <v>9.0282400000000003</v>
      </c>
      <c r="N135" s="85">
        <v>45.5</v>
      </c>
      <c r="O135" s="85">
        <v>45.5</v>
      </c>
      <c r="P135" s="85">
        <v>45.5</v>
      </c>
      <c r="Q135" s="85">
        <v>45.5</v>
      </c>
      <c r="R135" s="55"/>
    </row>
    <row r="136" spans="1:18" ht="101.25" customHeight="1" x14ac:dyDescent="0.2">
      <c r="A136" s="44" t="s">
        <v>182</v>
      </c>
      <c r="B136" s="45" t="s">
        <v>230</v>
      </c>
      <c r="C136" s="45" t="s">
        <v>178</v>
      </c>
      <c r="D136" s="45" t="s">
        <v>303</v>
      </c>
      <c r="E136" s="45" t="s">
        <v>183</v>
      </c>
      <c r="F136" s="45" t="s">
        <v>233</v>
      </c>
      <c r="G136" s="45" t="s">
        <v>183</v>
      </c>
      <c r="H136" s="45" t="s">
        <v>181</v>
      </c>
      <c r="I136" s="45" t="s">
        <v>302</v>
      </c>
      <c r="J136" s="46" t="s">
        <v>307</v>
      </c>
      <c r="K136" s="44" t="s">
        <v>426</v>
      </c>
      <c r="L136" s="85">
        <v>1.5</v>
      </c>
      <c r="M136" s="85">
        <v>1.5390900000000001</v>
      </c>
      <c r="N136" s="85">
        <v>1.8</v>
      </c>
      <c r="O136" s="85">
        <v>1.8</v>
      </c>
      <c r="P136" s="85">
        <v>1.8</v>
      </c>
      <c r="Q136" s="85">
        <v>1.8</v>
      </c>
      <c r="R136" s="55"/>
    </row>
    <row r="137" spans="1:18" ht="100.5" customHeight="1" x14ac:dyDescent="0.2">
      <c r="A137" s="44" t="s">
        <v>182</v>
      </c>
      <c r="B137" s="45"/>
      <c r="C137" s="45" t="s">
        <v>178</v>
      </c>
      <c r="D137" s="45" t="s">
        <v>303</v>
      </c>
      <c r="E137" s="45" t="s">
        <v>183</v>
      </c>
      <c r="F137" s="45" t="s">
        <v>279</v>
      </c>
      <c r="G137" s="45" t="s">
        <v>183</v>
      </c>
      <c r="H137" s="45" t="s">
        <v>181</v>
      </c>
      <c r="I137" s="45" t="s">
        <v>302</v>
      </c>
      <c r="J137" s="46" t="s">
        <v>309</v>
      </c>
      <c r="K137" s="44"/>
      <c r="L137" s="85">
        <f>L138+L139</f>
        <v>116.2</v>
      </c>
      <c r="M137" s="85">
        <f t="shared" ref="M137:Q137" si="58">M138+M139</f>
        <v>116.28629000000001</v>
      </c>
      <c r="N137" s="85">
        <f t="shared" si="58"/>
        <v>140.69999999999999</v>
      </c>
      <c r="O137" s="85">
        <f t="shared" si="58"/>
        <v>134</v>
      </c>
      <c r="P137" s="85">
        <f t="shared" si="58"/>
        <v>134</v>
      </c>
      <c r="Q137" s="85">
        <f t="shared" si="58"/>
        <v>134</v>
      </c>
      <c r="R137" s="55"/>
    </row>
    <row r="138" spans="1:18" ht="140.25" x14ac:dyDescent="0.2">
      <c r="A138" s="44" t="s">
        <v>182</v>
      </c>
      <c r="B138" s="45" t="s">
        <v>308</v>
      </c>
      <c r="C138" s="45" t="s">
        <v>178</v>
      </c>
      <c r="D138" s="45" t="s">
        <v>303</v>
      </c>
      <c r="E138" s="45" t="s">
        <v>183</v>
      </c>
      <c r="F138" s="45" t="s">
        <v>310</v>
      </c>
      <c r="G138" s="45" t="s">
        <v>183</v>
      </c>
      <c r="H138" s="45" t="s">
        <v>181</v>
      </c>
      <c r="I138" s="45" t="s">
        <v>302</v>
      </c>
      <c r="J138" s="46" t="s">
        <v>541</v>
      </c>
      <c r="K138" s="44" t="s">
        <v>425</v>
      </c>
      <c r="L138" s="85">
        <f>5+23.9+15+54.1</f>
        <v>98</v>
      </c>
      <c r="M138" s="85">
        <v>98.052030000000002</v>
      </c>
      <c r="N138" s="85">
        <v>122.5</v>
      </c>
      <c r="O138" s="85">
        <v>122.5</v>
      </c>
      <c r="P138" s="85">
        <v>122.5</v>
      </c>
      <c r="Q138" s="85">
        <v>122.5</v>
      </c>
      <c r="R138" s="55"/>
    </row>
    <row r="139" spans="1:18" ht="140.25" x14ac:dyDescent="0.2">
      <c r="A139" s="44" t="s">
        <v>182</v>
      </c>
      <c r="B139" s="45" t="s">
        <v>230</v>
      </c>
      <c r="C139" s="45" t="s">
        <v>178</v>
      </c>
      <c r="D139" s="45" t="s">
        <v>303</v>
      </c>
      <c r="E139" s="45" t="s">
        <v>183</v>
      </c>
      <c r="F139" s="45" t="s">
        <v>310</v>
      </c>
      <c r="G139" s="45" t="s">
        <v>183</v>
      </c>
      <c r="H139" s="45" t="s">
        <v>181</v>
      </c>
      <c r="I139" s="45" t="s">
        <v>302</v>
      </c>
      <c r="J139" s="46" t="s">
        <v>311</v>
      </c>
      <c r="K139" s="44" t="s">
        <v>426</v>
      </c>
      <c r="L139" s="85">
        <v>18.2</v>
      </c>
      <c r="M139" s="85">
        <v>18.234259999999999</v>
      </c>
      <c r="N139" s="85">
        <v>18.2</v>
      </c>
      <c r="O139" s="85">
        <v>11.5</v>
      </c>
      <c r="P139" s="85">
        <v>11.5</v>
      </c>
      <c r="Q139" s="85">
        <v>11.5</v>
      </c>
      <c r="R139" s="55"/>
    </row>
    <row r="140" spans="1:18" ht="76.5" x14ac:dyDescent="0.2">
      <c r="A140" s="44" t="s">
        <v>182</v>
      </c>
      <c r="B140" s="45"/>
      <c r="C140" s="45" t="s">
        <v>178</v>
      </c>
      <c r="D140" s="45" t="s">
        <v>303</v>
      </c>
      <c r="E140" s="45" t="s">
        <v>183</v>
      </c>
      <c r="F140" s="45" t="s">
        <v>246</v>
      </c>
      <c r="G140" s="45" t="s">
        <v>183</v>
      </c>
      <c r="H140" s="45" t="s">
        <v>181</v>
      </c>
      <c r="I140" s="45" t="s">
        <v>302</v>
      </c>
      <c r="J140" s="46" t="s">
        <v>312</v>
      </c>
      <c r="K140" s="44"/>
      <c r="L140" s="85">
        <f>SUM(L141:L143)</f>
        <v>50.699999999999996</v>
      </c>
      <c r="M140" s="85">
        <f t="shared" ref="M140:Q140" si="59">SUM(M141:M143)</f>
        <v>50.806899999999999</v>
      </c>
      <c r="N140" s="85">
        <f t="shared" si="59"/>
        <v>56.7</v>
      </c>
      <c r="O140" s="85">
        <f t="shared" si="59"/>
        <v>56.7</v>
      </c>
      <c r="P140" s="85">
        <f t="shared" si="59"/>
        <v>56.7</v>
      </c>
      <c r="Q140" s="85">
        <f t="shared" si="59"/>
        <v>56.7</v>
      </c>
      <c r="R140" s="55"/>
    </row>
    <row r="141" spans="1:18" ht="101.25" customHeight="1" x14ac:dyDescent="0.2">
      <c r="A141" s="44" t="s">
        <v>182</v>
      </c>
      <c r="B141" s="45" t="s">
        <v>308</v>
      </c>
      <c r="C141" s="45" t="s">
        <v>178</v>
      </c>
      <c r="D141" s="45" t="s">
        <v>303</v>
      </c>
      <c r="E141" s="45" t="s">
        <v>183</v>
      </c>
      <c r="F141" s="45" t="s">
        <v>313</v>
      </c>
      <c r="G141" s="45" t="s">
        <v>183</v>
      </c>
      <c r="H141" s="45" t="s">
        <v>181</v>
      </c>
      <c r="I141" s="45" t="s">
        <v>302</v>
      </c>
      <c r="J141" s="46" t="s">
        <v>542</v>
      </c>
      <c r="K141" s="44" t="s">
        <v>425</v>
      </c>
      <c r="L141" s="85">
        <f>0.5+10.7+1.6+10.6+7.4+19.3</f>
        <v>50.099999999999994</v>
      </c>
      <c r="M141" s="85">
        <v>50.306899999999999</v>
      </c>
      <c r="N141" s="85">
        <v>54.7</v>
      </c>
      <c r="O141" s="85">
        <v>54.7</v>
      </c>
      <c r="P141" s="85">
        <v>54.7</v>
      </c>
      <c r="Q141" s="85">
        <v>54.7</v>
      </c>
      <c r="R141" s="55"/>
    </row>
    <row r="142" spans="1:18" ht="102.75" customHeight="1" x14ac:dyDescent="0.2">
      <c r="A142" s="44" t="s">
        <v>182</v>
      </c>
      <c r="B142" s="45" t="s">
        <v>230</v>
      </c>
      <c r="C142" s="45" t="s">
        <v>178</v>
      </c>
      <c r="D142" s="45" t="s">
        <v>303</v>
      </c>
      <c r="E142" s="45" t="s">
        <v>183</v>
      </c>
      <c r="F142" s="45" t="s">
        <v>313</v>
      </c>
      <c r="G142" s="45" t="s">
        <v>183</v>
      </c>
      <c r="H142" s="45" t="s">
        <v>181</v>
      </c>
      <c r="I142" s="45" t="s">
        <v>302</v>
      </c>
      <c r="J142" s="46" t="s">
        <v>314</v>
      </c>
      <c r="K142" s="44" t="s">
        <v>426</v>
      </c>
      <c r="L142" s="85">
        <v>0.5</v>
      </c>
      <c r="M142" s="85">
        <v>0.5</v>
      </c>
      <c r="N142" s="85">
        <v>2</v>
      </c>
      <c r="O142" s="85">
        <v>2</v>
      </c>
      <c r="P142" s="85">
        <v>2</v>
      </c>
      <c r="Q142" s="85">
        <v>2</v>
      </c>
      <c r="R142" s="55"/>
    </row>
    <row r="143" spans="1:18" ht="102" x14ac:dyDescent="0.2">
      <c r="A143" s="44" t="s">
        <v>182</v>
      </c>
      <c r="B143" s="49" t="s">
        <v>281</v>
      </c>
      <c r="C143" s="45" t="s">
        <v>178</v>
      </c>
      <c r="D143" s="45" t="s">
        <v>303</v>
      </c>
      <c r="E143" s="45" t="s">
        <v>183</v>
      </c>
      <c r="F143" s="45" t="s">
        <v>315</v>
      </c>
      <c r="G143" s="45" t="s">
        <v>183</v>
      </c>
      <c r="H143" s="45" t="s">
        <v>181</v>
      </c>
      <c r="I143" s="45" t="s">
        <v>302</v>
      </c>
      <c r="J143" s="46" t="s">
        <v>316</v>
      </c>
      <c r="K143" s="44" t="s">
        <v>429</v>
      </c>
      <c r="L143" s="85">
        <v>0.1</v>
      </c>
      <c r="M143" s="85">
        <v>0</v>
      </c>
      <c r="N143" s="85">
        <v>0</v>
      </c>
      <c r="O143" s="85">
        <v>0</v>
      </c>
      <c r="P143" s="85">
        <v>0</v>
      </c>
      <c r="Q143" s="85">
        <v>0</v>
      </c>
      <c r="R143" s="55"/>
    </row>
    <row r="144" spans="1:18" ht="89.25" x14ac:dyDescent="0.2">
      <c r="A144" s="44" t="s">
        <v>182</v>
      </c>
      <c r="B144" s="45"/>
      <c r="C144" s="45" t="s">
        <v>178</v>
      </c>
      <c r="D144" s="45" t="s">
        <v>303</v>
      </c>
      <c r="E144" s="45" t="s">
        <v>183</v>
      </c>
      <c r="F144" s="45" t="s">
        <v>236</v>
      </c>
      <c r="G144" s="45" t="s">
        <v>183</v>
      </c>
      <c r="H144" s="45" t="s">
        <v>181</v>
      </c>
      <c r="I144" s="45" t="s">
        <v>302</v>
      </c>
      <c r="J144" s="46" t="s">
        <v>317</v>
      </c>
      <c r="K144" s="44"/>
      <c r="L144" s="85">
        <f>L145</f>
        <v>1088</v>
      </c>
      <c r="M144" s="85">
        <f t="shared" ref="M144:Q144" si="60">M145</f>
        <v>162.15754000000001</v>
      </c>
      <c r="N144" s="85">
        <f t="shared" si="60"/>
        <v>635</v>
      </c>
      <c r="O144" s="85">
        <f t="shared" si="60"/>
        <v>635</v>
      </c>
      <c r="P144" s="85">
        <f t="shared" si="60"/>
        <v>109.9</v>
      </c>
      <c r="Q144" s="85">
        <f t="shared" si="60"/>
        <v>109.9</v>
      </c>
      <c r="R144" s="55"/>
    </row>
    <row r="145" spans="1:18" ht="127.5" x14ac:dyDescent="0.2">
      <c r="A145" s="44" t="s">
        <v>182</v>
      </c>
      <c r="B145" s="45" t="s">
        <v>308</v>
      </c>
      <c r="C145" s="45" t="s">
        <v>178</v>
      </c>
      <c r="D145" s="45" t="s">
        <v>303</v>
      </c>
      <c r="E145" s="45" t="s">
        <v>183</v>
      </c>
      <c r="F145" s="45" t="s">
        <v>318</v>
      </c>
      <c r="G145" s="45" t="s">
        <v>183</v>
      </c>
      <c r="H145" s="45" t="s">
        <v>181</v>
      </c>
      <c r="I145" s="45" t="s">
        <v>302</v>
      </c>
      <c r="J145" s="46" t="s">
        <v>543</v>
      </c>
      <c r="K145" s="44" t="s">
        <v>425</v>
      </c>
      <c r="L145" s="85">
        <f>1034.8+4.5+33.4+15.3</f>
        <v>1088</v>
      </c>
      <c r="M145" s="85">
        <v>162.15754000000001</v>
      </c>
      <c r="N145" s="85">
        <v>635</v>
      </c>
      <c r="O145" s="85">
        <v>635</v>
      </c>
      <c r="P145" s="85">
        <v>109.9</v>
      </c>
      <c r="Q145" s="85">
        <v>109.9</v>
      </c>
      <c r="R145" s="55"/>
    </row>
    <row r="146" spans="1:18" ht="89.25" x14ac:dyDescent="0.2">
      <c r="A146" s="44" t="s">
        <v>182</v>
      </c>
      <c r="B146" s="45"/>
      <c r="C146" s="45" t="s">
        <v>178</v>
      </c>
      <c r="D146" s="45" t="s">
        <v>303</v>
      </c>
      <c r="E146" s="45" t="s">
        <v>183</v>
      </c>
      <c r="F146" s="49">
        <v>100</v>
      </c>
      <c r="G146" s="45" t="s">
        <v>183</v>
      </c>
      <c r="H146" s="45" t="s">
        <v>181</v>
      </c>
      <c r="I146" s="45" t="s">
        <v>302</v>
      </c>
      <c r="J146" s="46" t="s">
        <v>558</v>
      </c>
      <c r="K146" s="44"/>
      <c r="L146" s="85">
        <f>L147</f>
        <v>0</v>
      </c>
      <c r="M146" s="85">
        <f t="shared" ref="M146:Q148" si="61">M147</f>
        <v>0</v>
      </c>
      <c r="N146" s="85">
        <f t="shared" si="61"/>
        <v>0.7</v>
      </c>
      <c r="O146" s="85">
        <f t="shared" si="61"/>
        <v>0.7</v>
      </c>
      <c r="P146" s="85">
        <f t="shared" si="61"/>
        <v>0.7</v>
      </c>
      <c r="Q146" s="85">
        <f t="shared" si="61"/>
        <v>0.7</v>
      </c>
      <c r="R146" s="55"/>
    </row>
    <row r="147" spans="1:18" ht="114.75" customHeight="1" x14ac:dyDescent="0.2">
      <c r="A147" s="44" t="s">
        <v>182</v>
      </c>
      <c r="B147" s="45">
        <v>836</v>
      </c>
      <c r="C147" s="45" t="s">
        <v>178</v>
      </c>
      <c r="D147" s="45" t="s">
        <v>303</v>
      </c>
      <c r="E147" s="45" t="s">
        <v>183</v>
      </c>
      <c r="F147" s="49">
        <v>103</v>
      </c>
      <c r="G147" s="45" t="s">
        <v>183</v>
      </c>
      <c r="H147" s="45" t="s">
        <v>181</v>
      </c>
      <c r="I147" s="45" t="s">
        <v>302</v>
      </c>
      <c r="J147" s="46" t="s">
        <v>559</v>
      </c>
      <c r="K147" s="44" t="s">
        <v>425</v>
      </c>
      <c r="L147" s="85">
        <v>0</v>
      </c>
      <c r="M147" s="85">
        <v>0</v>
      </c>
      <c r="N147" s="85">
        <v>0.7</v>
      </c>
      <c r="O147" s="85">
        <v>0.7</v>
      </c>
      <c r="P147" s="85">
        <v>0.7</v>
      </c>
      <c r="Q147" s="85">
        <v>0.7</v>
      </c>
      <c r="R147" s="55"/>
    </row>
    <row r="148" spans="1:18" s="56" customFormat="1" ht="76.5" x14ac:dyDescent="0.2">
      <c r="A148" s="44" t="s">
        <v>182</v>
      </c>
      <c r="B148" s="45"/>
      <c r="C148" s="45" t="s">
        <v>178</v>
      </c>
      <c r="D148" s="45" t="s">
        <v>303</v>
      </c>
      <c r="E148" s="45" t="s">
        <v>183</v>
      </c>
      <c r="F148" s="49" t="s">
        <v>185</v>
      </c>
      <c r="G148" s="45" t="s">
        <v>183</v>
      </c>
      <c r="H148" s="45" t="s">
        <v>181</v>
      </c>
      <c r="I148" s="45" t="s">
        <v>302</v>
      </c>
      <c r="J148" s="46" t="s">
        <v>458</v>
      </c>
      <c r="K148" s="44"/>
      <c r="L148" s="85">
        <f>L149</f>
        <v>5</v>
      </c>
      <c r="M148" s="85">
        <f t="shared" si="61"/>
        <v>5.0862499999999997</v>
      </c>
      <c r="N148" s="85">
        <f t="shared" si="61"/>
        <v>5.0999999999999996</v>
      </c>
      <c r="O148" s="85">
        <f t="shared" si="61"/>
        <v>3.1</v>
      </c>
      <c r="P148" s="85">
        <f t="shared" si="61"/>
        <v>3.1</v>
      </c>
      <c r="Q148" s="85">
        <f t="shared" si="61"/>
        <v>3.1</v>
      </c>
      <c r="R148" s="69"/>
    </row>
    <row r="149" spans="1:18" s="56" customFormat="1" ht="102" x14ac:dyDescent="0.2">
      <c r="A149" s="44" t="s">
        <v>182</v>
      </c>
      <c r="B149" s="45">
        <v>836</v>
      </c>
      <c r="C149" s="45" t="s">
        <v>178</v>
      </c>
      <c r="D149" s="45" t="s">
        <v>303</v>
      </c>
      <c r="E149" s="45" t="s">
        <v>183</v>
      </c>
      <c r="F149" s="49" t="s">
        <v>457</v>
      </c>
      <c r="G149" s="45" t="s">
        <v>183</v>
      </c>
      <c r="H149" s="45" t="s">
        <v>181</v>
      </c>
      <c r="I149" s="45" t="s">
        <v>302</v>
      </c>
      <c r="J149" s="46" t="s">
        <v>544</v>
      </c>
      <c r="K149" s="44" t="s">
        <v>425</v>
      </c>
      <c r="L149" s="85">
        <v>5</v>
      </c>
      <c r="M149" s="85">
        <v>5.0862499999999997</v>
      </c>
      <c r="N149" s="85">
        <v>5.0999999999999996</v>
      </c>
      <c r="O149" s="85">
        <v>3.1</v>
      </c>
      <c r="P149" s="85">
        <v>3.1</v>
      </c>
      <c r="Q149" s="85">
        <v>3.1</v>
      </c>
      <c r="R149" s="69"/>
    </row>
    <row r="150" spans="1:18" ht="76.5" x14ac:dyDescent="0.2">
      <c r="A150" s="44" t="s">
        <v>182</v>
      </c>
      <c r="B150" s="45"/>
      <c r="C150" s="45" t="s">
        <v>178</v>
      </c>
      <c r="D150" s="45" t="s">
        <v>303</v>
      </c>
      <c r="E150" s="45" t="s">
        <v>183</v>
      </c>
      <c r="F150" s="45" t="s">
        <v>235</v>
      </c>
      <c r="G150" s="45" t="s">
        <v>183</v>
      </c>
      <c r="H150" s="45" t="s">
        <v>181</v>
      </c>
      <c r="I150" s="45" t="s">
        <v>302</v>
      </c>
      <c r="J150" s="46" t="s">
        <v>320</v>
      </c>
      <c r="K150" s="44"/>
      <c r="L150" s="85">
        <f t="shared" ref="L150:Q150" si="62">L151</f>
        <v>72</v>
      </c>
      <c r="M150" s="85">
        <f t="shared" si="62"/>
        <v>72.005769999999998</v>
      </c>
      <c r="N150" s="85">
        <f t="shared" si="62"/>
        <v>72</v>
      </c>
      <c r="O150" s="85">
        <f t="shared" si="62"/>
        <v>66</v>
      </c>
      <c r="P150" s="85">
        <f t="shared" si="62"/>
        <v>66</v>
      </c>
      <c r="Q150" s="85">
        <f t="shared" si="62"/>
        <v>66.099999999999994</v>
      </c>
      <c r="R150" s="55"/>
    </row>
    <row r="151" spans="1:18" ht="114.75" x14ac:dyDescent="0.2">
      <c r="A151" s="44" t="s">
        <v>182</v>
      </c>
      <c r="B151" s="45" t="s">
        <v>230</v>
      </c>
      <c r="C151" s="45" t="s">
        <v>178</v>
      </c>
      <c r="D151" s="45" t="s">
        <v>303</v>
      </c>
      <c r="E151" s="45" t="s">
        <v>183</v>
      </c>
      <c r="F151" s="45" t="s">
        <v>321</v>
      </c>
      <c r="G151" s="45" t="s">
        <v>183</v>
      </c>
      <c r="H151" s="45" t="s">
        <v>181</v>
      </c>
      <c r="I151" s="45" t="s">
        <v>302</v>
      </c>
      <c r="J151" s="46" t="s">
        <v>322</v>
      </c>
      <c r="K151" s="44" t="s">
        <v>426</v>
      </c>
      <c r="L151" s="85">
        <v>72</v>
      </c>
      <c r="M151" s="85">
        <v>72.005769999999998</v>
      </c>
      <c r="N151" s="85">
        <v>72</v>
      </c>
      <c r="O151" s="85">
        <v>66</v>
      </c>
      <c r="P151" s="85">
        <v>66</v>
      </c>
      <c r="Q151" s="85">
        <v>66.099999999999994</v>
      </c>
      <c r="R151" s="55"/>
    </row>
    <row r="152" spans="1:18" s="56" customFormat="1" ht="76.5" x14ac:dyDescent="0.2">
      <c r="A152" s="44" t="s">
        <v>182</v>
      </c>
      <c r="B152" s="45"/>
      <c r="C152" s="45" t="s">
        <v>178</v>
      </c>
      <c r="D152" s="45" t="s">
        <v>303</v>
      </c>
      <c r="E152" s="45" t="s">
        <v>183</v>
      </c>
      <c r="F152" s="49" t="s">
        <v>269</v>
      </c>
      <c r="G152" s="45" t="s">
        <v>183</v>
      </c>
      <c r="H152" s="45" t="s">
        <v>181</v>
      </c>
      <c r="I152" s="45" t="s">
        <v>302</v>
      </c>
      <c r="J152" s="46" t="s">
        <v>475</v>
      </c>
      <c r="K152" s="44"/>
      <c r="L152" s="85">
        <f>L153</f>
        <v>1.5</v>
      </c>
      <c r="M152" s="85">
        <f t="shared" ref="L152:Q154" si="63">M153</f>
        <v>1.5</v>
      </c>
      <c r="N152" s="85">
        <f t="shared" si="63"/>
        <v>1.5</v>
      </c>
      <c r="O152" s="85">
        <f t="shared" si="63"/>
        <v>0.8</v>
      </c>
      <c r="P152" s="85">
        <f t="shared" si="63"/>
        <v>0.8</v>
      </c>
      <c r="Q152" s="85">
        <f t="shared" si="63"/>
        <v>0.8</v>
      </c>
      <c r="R152" s="69"/>
    </row>
    <row r="153" spans="1:18" s="56" customFormat="1" ht="102.75" customHeight="1" x14ac:dyDescent="0.2">
      <c r="A153" s="44" t="s">
        <v>182</v>
      </c>
      <c r="B153" s="45" t="s">
        <v>308</v>
      </c>
      <c r="C153" s="45" t="s">
        <v>178</v>
      </c>
      <c r="D153" s="45" t="s">
        <v>303</v>
      </c>
      <c r="E153" s="45" t="s">
        <v>183</v>
      </c>
      <c r="F153" s="49" t="s">
        <v>474</v>
      </c>
      <c r="G153" s="45" t="s">
        <v>183</v>
      </c>
      <c r="H153" s="45" t="s">
        <v>181</v>
      </c>
      <c r="I153" s="45" t="s">
        <v>302</v>
      </c>
      <c r="J153" s="46" t="s">
        <v>545</v>
      </c>
      <c r="K153" s="44" t="s">
        <v>425</v>
      </c>
      <c r="L153" s="85">
        <v>1.5</v>
      </c>
      <c r="M153" s="85">
        <v>1.5</v>
      </c>
      <c r="N153" s="85">
        <v>1.5</v>
      </c>
      <c r="O153" s="85">
        <v>0.8</v>
      </c>
      <c r="P153" s="85">
        <v>0.8</v>
      </c>
      <c r="Q153" s="85">
        <v>0.8</v>
      </c>
      <c r="R153" s="69"/>
    </row>
    <row r="154" spans="1:18" ht="102" x14ac:dyDescent="0.2">
      <c r="A154" s="44" t="s">
        <v>182</v>
      </c>
      <c r="B154" s="45"/>
      <c r="C154" s="45" t="s">
        <v>178</v>
      </c>
      <c r="D154" s="45" t="s">
        <v>303</v>
      </c>
      <c r="E154" s="45" t="s">
        <v>183</v>
      </c>
      <c r="F154" s="45" t="s">
        <v>302</v>
      </c>
      <c r="G154" s="45" t="s">
        <v>183</v>
      </c>
      <c r="H154" s="45" t="s">
        <v>181</v>
      </c>
      <c r="I154" s="45" t="s">
        <v>302</v>
      </c>
      <c r="J154" s="46" t="s">
        <v>323</v>
      </c>
      <c r="K154" s="44"/>
      <c r="L154" s="85">
        <f t="shared" si="63"/>
        <v>833.4</v>
      </c>
      <c r="M154" s="85">
        <f t="shared" si="63"/>
        <v>833.58073000000002</v>
      </c>
      <c r="N154" s="85">
        <f t="shared" si="63"/>
        <v>1090.4000000000001</v>
      </c>
      <c r="O154" s="85">
        <f t="shared" si="63"/>
        <v>1131.4000000000001</v>
      </c>
      <c r="P154" s="85">
        <f t="shared" si="63"/>
        <v>1131.4000000000001</v>
      </c>
      <c r="Q154" s="85">
        <f t="shared" si="63"/>
        <v>1131.4000000000001</v>
      </c>
      <c r="R154" s="55"/>
    </row>
    <row r="155" spans="1:18" ht="140.25" x14ac:dyDescent="0.2">
      <c r="A155" s="44" t="s">
        <v>182</v>
      </c>
      <c r="B155" s="45" t="s">
        <v>308</v>
      </c>
      <c r="C155" s="45" t="s">
        <v>178</v>
      </c>
      <c r="D155" s="45" t="s">
        <v>303</v>
      </c>
      <c r="E155" s="45" t="s">
        <v>183</v>
      </c>
      <c r="F155" s="45" t="s">
        <v>324</v>
      </c>
      <c r="G155" s="45" t="s">
        <v>183</v>
      </c>
      <c r="H155" s="45" t="s">
        <v>181</v>
      </c>
      <c r="I155" s="45" t="s">
        <v>302</v>
      </c>
      <c r="J155" s="46" t="s">
        <v>546</v>
      </c>
      <c r="K155" s="44" t="s">
        <v>425</v>
      </c>
      <c r="L155" s="85">
        <f>52.4+155.7+0.1+10+347.1+268.1</f>
        <v>833.4</v>
      </c>
      <c r="M155" s="85">
        <v>833.58073000000002</v>
      </c>
      <c r="N155" s="85">
        <v>1090.4000000000001</v>
      </c>
      <c r="O155" s="85">
        <v>1131.4000000000001</v>
      </c>
      <c r="P155" s="85">
        <v>1131.4000000000001</v>
      </c>
      <c r="Q155" s="85">
        <v>1131.4000000000001</v>
      </c>
      <c r="R155" s="55"/>
    </row>
    <row r="156" spans="1:18" ht="89.25" x14ac:dyDescent="0.2">
      <c r="A156" s="44" t="s">
        <v>182</v>
      </c>
      <c r="B156" s="45"/>
      <c r="C156" s="45" t="s">
        <v>178</v>
      </c>
      <c r="D156" s="45" t="s">
        <v>303</v>
      </c>
      <c r="E156" s="45" t="s">
        <v>183</v>
      </c>
      <c r="F156" s="45" t="s">
        <v>229</v>
      </c>
      <c r="G156" s="45" t="s">
        <v>183</v>
      </c>
      <c r="H156" s="45" t="s">
        <v>181</v>
      </c>
      <c r="I156" s="45" t="s">
        <v>302</v>
      </c>
      <c r="J156" s="46" t="s">
        <v>325</v>
      </c>
      <c r="K156" s="44"/>
      <c r="L156" s="85">
        <f>L157</f>
        <v>34.4</v>
      </c>
      <c r="M156" s="85">
        <f t="shared" ref="M156:Q156" si="64">M157</f>
        <v>34.50244</v>
      </c>
      <c r="N156" s="85">
        <f t="shared" si="64"/>
        <v>46.5</v>
      </c>
      <c r="O156" s="85">
        <f t="shared" si="64"/>
        <v>46.5</v>
      </c>
      <c r="P156" s="85">
        <f t="shared" si="64"/>
        <v>46.5</v>
      </c>
      <c r="Q156" s="85">
        <f t="shared" si="64"/>
        <v>46.5</v>
      </c>
      <c r="R156" s="55"/>
    </row>
    <row r="157" spans="1:18" ht="165.75" x14ac:dyDescent="0.2">
      <c r="A157" s="44" t="s">
        <v>182</v>
      </c>
      <c r="B157" s="45" t="s">
        <v>308</v>
      </c>
      <c r="C157" s="45" t="s">
        <v>178</v>
      </c>
      <c r="D157" s="45" t="s">
        <v>303</v>
      </c>
      <c r="E157" s="45" t="s">
        <v>183</v>
      </c>
      <c r="F157" s="45" t="s">
        <v>326</v>
      </c>
      <c r="G157" s="45" t="s">
        <v>183</v>
      </c>
      <c r="H157" s="45" t="s">
        <v>181</v>
      </c>
      <c r="I157" s="45" t="s">
        <v>302</v>
      </c>
      <c r="J157" s="46" t="s">
        <v>547</v>
      </c>
      <c r="K157" s="44" t="s">
        <v>425</v>
      </c>
      <c r="L157" s="85">
        <f>1.5+6.2+0.1+26.6</f>
        <v>34.4</v>
      </c>
      <c r="M157" s="85">
        <v>34.50244</v>
      </c>
      <c r="N157" s="85">
        <v>46.5</v>
      </c>
      <c r="O157" s="85">
        <v>46.5</v>
      </c>
      <c r="P157" s="85">
        <v>46.5</v>
      </c>
      <c r="Q157" s="85">
        <v>46.5</v>
      </c>
      <c r="R157" s="55"/>
    </row>
    <row r="158" spans="1:18" ht="89.25" x14ac:dyDescent="0.2">
      <c r="A158" s="44" t="s">
        <v>182</v>
      </c>
      <c r="B158" s="45"/>
      <c r="C158" s="45" t="s">
        <v>178</v>
      </c>
      <c r="D158" s="45" t="s">
        <v>303</v>
      </c>
      <c r="E158" s="45" t="s">
        <v>183</v>
      </c>
      <c r="F158" s="45" t="s">
        <v>231</v>
      </c>
      <c r="G158" s="45" t="s">
        <v>183</v>
      </c>
      <c r="H158" s="45" t="s">
        <v>181</v>
      </c>
      <c r="I158" s="45" t="s">
        <v>302</v>
      </c>
      <c r="J158" s="46" t="s">
        <v>327</v>
      </c>
      <c r="K158" s="44"/>
      <c r="L158" s="85">
        <f t="shared" ref="L158:Q160" si="65">L159</f>
        <v>6.9</v>
      </c>
      <c r="M158" s="85">
        <f t="shared" si="65"/>
        <v>7.0039999999999996</v>
      </c>
      <c r="N158" s="85">
        <f>N159</f>
        <v>10.5</v>
      </c>
      <c r="O158" s="85">
        <f t="shared" si="65"/>
        <v>10.5</v>
      </c>
      <c r="P158" s="85">
        <f t="shared" si="65"/>
        <v>10.5</v>
      </c>
      <c r="Q158" s="85">
        <f t="shared" si="65"/>
        <v>10.5</v>
      </c>
      <c r="R158" s="55"/>
    </row>
    <row r="159" spans="1:18" ht="127.5" x14ac:dyDescent="0.2">
      <c r="A159" s="44" t="s">
        <v>182</v>
      </c>
      <c r="B159" s="45" t="s">
        <v>308</v>
      </c>
      <c r="C159" s="45" t="s">
        <v>178</v>
      </c>
      <c r="D159" s="45" t="s">
        <v>303</v>
      </c>
      <c r="E159" s="45" t="s">
        <v>183</v>
      </c>
      <c r="F159" s="45" t="s">
        <v>328</v>
      </c>
      <c r="G159" s="45" t="s">
        <v>183</v>
      </c>
      <c r="H159" s="45" t="s">
        <v>181</v>
      </c>
      <c r="I159" s="45" t="s">
        <v>302</v>
      </c>
      <c r="J159" s="46" t="s">
        <v>548</v>
      </c>
      <c r="K159" s="44" t="s">
        <v>425</v>
      </c>
      <c r="L159" s="85">
        <f>1.5+2.7+2.7</f>
        <v>6.9</v>
      </c>
      <c r="M159" s="85">
        <v>7.0039999999999996</v>
      </c>
      <c r="N159" s="85">
        <v>10.5</v>
      </c>
      <c r="O159" s="85">
        <v>10.5</v>
      </c>
      <c r="P159" s="85">
        <v>10.5</v>
      </c>
      <c r="Q159" s="85">
        <v>10.5</v>
      </c>
      <c r="R159" s="55"/>
    </row>
    <row r="160" spans="1:18" ht="127.5" customHeight="1" x14ac:dyDescent="0.2">
      <c r="A160" s="44" t="s">
        <v>182</v>
      </c>
      <c r="B160" s="45"/>
      <c r="C160" s="45" t="s">
        <v>178</v>
      </c>
      <c r="D160" s="45" t="s">
        <v>303</v>
      </c>
      <c r="E160" s="45" t="s">
        <v>183</v>
      </c>
      <c r="F160" s="64" t="s">
        <v>329</v>
      </c>
      <c r="G160" s="45" t="s">
        <v>183</v>
      </c>
      <c r="H160" s="45" t="s">
        <v>181</v>
      </c>
      <c r="I160" s="45" t="s">
        <v>302</v>
      </c>
      <c r="J160" s="46" t="s">
        <v>568</v>
      </c>
      <c r="K160" s="44"/>
      <c r="L160" s="85">
        <f>L161</f>
        <v>0</v>
      </c>
      <c r="M160" s="85">
        <f t="shared" si="65"/>
        <v>5.2699999999999997E-2</v>
      </c>
      <c r="N160" s="85">
        <f>N161</f>
        <v>0.5</v>
      </c>
      <c r="O160" s="85">
        <f t="shared" si="65"/>
        <v>0.5</v>
      </c>
      <c r="P160" s="85">
        <f t="shared" si="65"/>
        <v>0.5</v>
      </c>
      <c r="Q160" s="85">
        <f t="shared" si="65"/>
        <v>0.5</v>
      </c>
      <c r="R160" s="55"/>
    </row>
    <row r="161" spans="1:18" ht="153" customHeight="1" x14ac:dyDescent="0.2">
      <c r="A161" s="44" t="s">
        <v>182</v>
      </c>
      <c r="B161" s="45" t="s">
        <v>308</v>
      </c>
      <c r="C161" s="45" t="s">
        <v>178</v>
      </c>
      <c r="D161" s="45" t="s">
        <v>303</v>
      </c>
      <c r="E161" s="45" t="s">
        <v>183</v>
      </c>
      <c r="F161" s="64" t="s">
        <v>472</v>
      </c>
      <c r="G161" s="45" t="s">
        <v>183</v>
      </c>
      <c r="H161" s="45" t="s">
        <v>181</v>
      </c>
      <c r="I161" s="45" t="s">
        <v>302</v>
      </c>
      <c r="J161" s="46" t="s">
        <v>549</v>
      </c>
      <c r="K161" s="44" t="s">
        <v>425</v>
      </c>
      <c r="L161" s="85">
        <v>0</v>
      </c>
      <c r="M161" s="85">
        <v>5.2699999999999997E-2</v>
      </c>
      <c r="N161" s="85">
        <v>0.5</v>
      </c>
      <c r="O161" s="85">
        <v>0.5</v>
      </c>
      <c r="P161" s="85">
        <v>0.5</v>
      </c>
      <c r="Q161" s="85">
        <v>0.5</v>
      </c>
      <c r="R161" s="55"/>
    </row>
    <row r="162" spans="1:18" ht="76.5" x14ac:dyDescent="0.2">
      <c r="A162" s="44" t="s">
        <v>182</v>
      </c>
      <c r="B162" s="45"/>
      <c r="C162" s="45" t="s">
        <v>178</v>
      </c>
      <c r="D162" s="45" t="s">
        <v>303</v>
      </c>
      <c r="E162" s="45" t="s">
        <v>183</v>
      </c>
      <c r="F162" s="45" t="s">
        <v>330</v>
      </c>
      <c r="G162" s="45" t="s">
        <v>183</v>
      </c>
      <c r="H162" s="45" t="s">
        <v>181</v>
      </c>
      <c r="I162" s="45" t="s">
        <v>302</v>
      </c>
      <c r="J162" s="46" t="s">
        <v>331</v>
      </c>
      <c r="K162" s="44"/>
      <c r="L162" s="85">
        <f>SUM(L163:L165)</f>
        <v>226.5</v>
      </c>
      <c r="M162" s="85">
        <f t="shared" ref="M162:Q162" si="66">SUM(M163:M165)</f>
        <v>226.51655</v>
      </c>
      <c r="N162" s="85">
        <f t="shared" si="66"/>
        <v>635.5</v>
      </c>
      <c r="O162" s="85">
        <f t="shared" si="66"/>
        <v>635.5</v>
      </c>
      <c r="P162" s="85">
        <f t="shared" si="66"/>
        <v>635.5</v>
      </c>
      <c r="Q162" s="85">
        <f t="shared" si="66"/>
        <v>635.5</v>
      </c>
      <c r="R162" s="55"/>
    </row>
    <row r="163" spans="1:18" ht="105" customHeight="1" x14ac:dyDescent="0.2">
      <c r="A163" s="44" t="s">
        <v>182</v>
      </c>
      <c r="B163" s="45" t="s">
        <v>308</v>
      </c>
      <c r="C163" s="45" t="s">
        <v>178</v>
      </c>
      <c r="D163" s="45" t="s">
        <v>303</v>
      </c>
      <c r="E163" s="45" t="s">
        <v>183</v>
      </c>
      <c r="F163" s="45" t="s">
        <v>332</v>
      </c>
      <c r="G163" s="45" t="s">
        <v>183</v>
      </c>
      <c r="H163" s="45" t="s">
        <v>181</v>
      </c>
      <c r="I163" s="45" t="s">
        <v>302</v>
      </c>
      <c r="J163" s="46" t="s">
        <v>550</v>
      </c>
      <c r="K163" s="44" t="s">
        <v>425</v>
      </c>
      <c r="L163" s="85">
        <f>51+5.9+0.5+4.4+15+130+12.5+5.1</f>
        <v>224.4</v>
      </c>
      <c r="M163" s="85">
        <v>224.51655</v>
      </c>
      <c r="N163" s="85">
        <v>631.4</v>
      </c>
      <c r="O163" s="85">
        <v>631.4</v>
      </c>
      <c r="P163" s="85">
        <v>631.4</v>
      </c>
      <c r="Q163" s="85">
        <v>631.4</v>
      </c>
      <c r="R163" s="55"/>
    </row>
    <row r="164" spans="1:18" ht="102" customHeight="1" x14ac:dyDescent="0.2">
      <c r="A164" s="44" t="s">
        <v>182</v>
      </c>
      <c r="B164" s="45" t="s">
        <v>230</v>
      </c>
      <c r="C164" s="45" t="s">
        <v>178</v>
      </c>
      <c r="D164" s="45" t="s">
        <v>303</v>
      </c>
      <c r="E164" s="45" t="s">
        <v>183</v>
      </c>
      <c r="F164" s="45" t="s">
        <v>332</v>
      </c>
      <c r="G164" s="45" t="s">
        <v>183</v>
      </c>
      <c r="H164" s="45" t="s">
        <v>181</v>
      </c>
      <c r="I164" s="45" t="s">
        <v>302</v>
      </c>
      <c r="J164" s="46" t="s">
        <v>333</v>
      </c>
      <c r="K164" s="44" t="s">
        <v>426</v>
      </c>
      <c r="L164" s="85">
        <v>2</v>
      </c>
      <c r="M164" s="85">
        <v>2</v>
      </c>
      <c r="N164" s="85">
        <v>4.0999999999999996</v>
      </c>
      <c r="O164" s="85">
        <v>4.0999999999999996</v>
      </c>
      <c r="P164" s="85">
        <v>4.0999999999999996</v>
      </c>
      <c r="Q164" s="85">
        <v>4.0999999999999996</v>
      </c>
      <c r="R164" s="55"/>
    </row>
    <row r="165" spans="1:18" ht="102" x14ac:dyDescent="0.2">
      <c r="A165" s="44" t="s">
        <v>182</v>
      </c>
      <c r="B165" s="45" t="s">
        <v>230</v>
      </c>
      <c r="C165" s="45" t="s">
        <v>178</v>
      </c>
      <c r="D165" s="45" t="s">
        <v>303</v>
      </c>
      <c r="E165" s="45" t="s">
        <v>183</v>
      </c>
      <c r="F165" s="45" t="s">
        <v>334</v>
      </c>
      <c r="G165" s="45" t="s">
        <v>183</v>
      </c>
      <c r="H165" s="45" t="s">
        <v>181</v>
      </c>
      <c r="I165" s="45" t="s">
        <v>302</v>
      </c>
      <c r="J165" s="46" t="s">
        <v>335</v>
      </c>
      <c r="K165" s="44" t="s">
        <v>426</v>
      </c>
      <c r="L165" s="85">
        <v>0.1</v>
      </c>
      <c r="M165" s="85">
        <v>0</v>
      </c>
      <c r="N165" s="85">
        <v>0</v>
      </c>
      <c r="O165" s="85">
        <v>0</v>
      </c>
      <c r="P165" s="85">
        <v>0</v>
      </c>
      <c r="Q165" s="85">
        <v>0</v>
      </c>
      <c r="R165" s="55"/>
    </row>
    <row r="166" spans="1:18" ht="89.25" x14ac:dyDescent="0.2">
      <c r="A166" s="44" t="s">
        <v>182</v>
      </c>
      <c r="B166" s="45"/>
      <c r="C166" s="45" t="s">
        <v>178</v>
      </c>
      <c r="D166" s="45" t="s">
        <v>303</v>
      </c>
      <c r="E166" s="45" t="s">
        <v>183</v>
      </c>
      <c r="F166" s="45" t="s">
        <v>336</v>
      </c>
      <c r="G166" s="45" t="s">
        <v>183</v>
      </c>
      <c r="H166" s="45" t="s">
        <v>181</v>
      </c>
      <c r="I166" s="45" t="s">
        <v>302</v>
      </c>
      <c r="J166" s="46" t="s">
        <v>337</v>
      </c>
      <c r="K166" s="44"/>
      <c r="L166" s="85">
        <f>L167+L168</f>
        <v>438.70000000000005</v>
      </c>
      <c r="M166" s="85">
        <f t="shared" ref="M166:Q166" si="67">M167+M168</f>
        <v>438.77694000000002</v>
      </c>
      <c r="N166" s="85">
        <f t="shared" si="67"/>
        <v>438.8</v>
      </c>
      <c r="O166" s="85">
        <f t="shared" si="67"/>
        <v>400</v>
      </c>
      <c r="P166" s="85">
        <f t="shared" si="67"/>
        <v>400</v>
      </c>
      <c r="Q166" s="85">
        <f t="shared" si="67"/>
        <v>400</v>
      </c>
      <c r="R166" s="55"/>
    </row>
    <row r="167" spans="1:18" ht="114.75" customHeight="1" x14ac:dyDescent="0.2">
      <c r="A167" s="44" t="s">
        <v>182</v>
      </c>
      <c r="B167" s="45" t="s">
        <v>308</v>
      </c>
      <c r="C167" s="45" t="s">
        <v>178</v>
      </c>
      <c r="D167" s="45" t="s">
        <v>303</v>
      </c>
      <c r="E167" s="45" t="s">
        <v>183</v>
      </c>
      <c r="F167" s="45" t="s">
        <v>338</v>
      </c>
      <c r="G167" s="45" t="s">
        <v>183</v>
      </c>
      <c r="H167" s="45" t="s">
        <v>181</v>
      </c>
      <c r="I167" s="45" t="s">
        <v>302</v>
      </c>
      <c r="J167" s="46" t="s">
        <v>551</v>
      </c>
      <c r="K167" s="44" t="s">
        <v>425</v>
      </c>
      <c r="L167" s="85">
        <f>5+10+12.5+2.5+20+34.4+332.3</f>
        <v>416.70000000000005</v>
      </c>
      <c r="M167" s="85">
        <v>416.77140000000003</v>
      </c>
      <c r="N167" s="85">
        <v>416.8</v>
      </c>
      <c r="O167" s="85">
        <v>378.5</v>
      </c>
      <c r="P167" s="85">
        <v>378.5</v>
      </c>
      <c r="Q167" s="85">
        <v>378.5</v>
      </c>
      <c r="R167" s="55"/>
    </row>
    <row r="168" spans="1:18" ht="114.75" customHeight="1" x14ac:dyDescent="0.2">
      <c r="A168" s="44" t="s">
        <v>182</v>
      </c>
      <c r="B168" s="45" t="s">
        <v>230</v>
      </c>
      <c r="C168" s="45" t="s">
        <v>178</v>
      </c>
      <c r="D168" s="45" t="s">
        <v>303</v>
      </c>
      <c r="E168" s="45" t="s">
        <v>183</v>
      </c>
      <c r="F168" s="45" t="s">
        <v>338</v>
      </c>
      <c r="G168" s="45" t="s">
        <v>183</v>
      </c>
      <c r="H168" s="45" t="s">
        <v>181</v>
      </c>
      <c r="I168" s="45" t="s">
        <v>302</v>
      </c>
      <c r="J168" s="46" t="s">
        <v>339</v>
      </c>
      <c r="K168" s="44" t="s">
        <v>426</v>
      </c>
      <c r="L168" s="85">
        <v>22</v>
      </c>
      <c r="M168" s="85">
        <v>22.00554</v>
      </c>
      <c r="N168" s="85">
        <v>22</v>
      </c>
      <c r="O168" s="85">
        <v>21.5</v>
      </c>
      <c r="P168" s="85">
        <v>21.5</v>
      </c>
      <c r="Q168" s="85">
        <v>21.5</v>
      </c>
      <c r="R168" s="55"/>
    </row>
    <row r="169" spans="1:18" ht="147.75" customHeight="1" x14ac:dyDescent="0.2">
      <c r="A169" s="44" t="s">
        <v>182</v>
      </c>
      <c r="B169" s="45"/>
      <c r="C169" s="45" t="s">
        <v>178</v>
      </c>
      <c r="D169" s="45" t="s">
        <v>303</v>
      </c>
      <c r="E169" s="45" t="s">
        <v>227</v>
      </c>
      <c r="F169" s="45" t="s">
        <v>180</v>
      </c>
      <c r="G169" s="45" t="s">
        <v>179</v>
      </c>
      <c r="H169" s="45" t="s">
        <v>181</v>
      </c>
      <c r="I169" s="45" t="s">
        <v>302</v>
      </c>
      <c r="J169" s="46" t="s">
        <v>340</v>
      </c>
      <c r="K169" s="44"/>
      <c r="L169" s="85">
        <f t="shared" ref="L169:Q169" si="68">L170+L177</f>
        <v>12813.4</v>
      </c>
      <c r="M169" s="85">
        <f t="shared" si="68"/>
        <v>10235.36867</v>
      </c>
      <c r="N169" s="85">
        <f t="shared" si="68"/>
        <v>13110.199999999999</v>
      </c>
      <c r="O169" s="85">
        <f t="shared" si="68"/>
        <v>3805.6</v>
      </c>
      <c r="P169" s="85">
        <f t="shared" si="68"/>
        <v>3805.6</v>
      </c>
      <c r="Q169" s="85">
        <f t="shared" si="68"/>
        <v>3805.6</v>
      </c>
      <c r="R169" s="55"/>
    </row>
    <row r="170" spans="1:18" ht="76.5" x14ac:dyDescent="0.2">
      <c r="A170" s="44" t="s">
        <v>182</v>
      </c>
      <c r="B170" s="45"/>
      <c r="C170" s="45" t="s">
        <v>178</v>
      </c>
      <c r="D170" s="45" t="s">
        <v>303</v>
      </c>
      <c r="E170" s="45" t="s">
        <v>227</v>
      </c>
      <c r="F170" s="45" t="s">
        <v>187</v>
      </c>
      <c r="G170" s="45" t="s">
        <v>179</v>
      </c>
      <c r="H170" s="45" t="s">
        <v>181</v>
      </c>
      <c r="I170" s="45" t="s">
        <v>302</v>
      </c>
      <c r="J170" s="46" t="s">
        <v>341</v>
      </c>
      <c r="K170" s="44"/>
      <c r="L170" s="85">
        <f>SUM(L171:L176)</f>
        <v>1810.1</v>
      </c>
      <c r="M170" s="85">
        <f t="shared" ref="M170:Q170" si="69">SUM(M171:M176)</f>
        <v>1810.3932399999999</v>
      </c>
      <c r="N170" s="85">
        <f t="shared" si="69"/>
        <v>1810.4</v>
      </c>
      <c r="O170" s="85">
        <f t="shared" si="69"/>
        <v>5.9</v>
      </c>
      <c r="P170" s="85">
        <f t="shared" si="69"/>
        <v>5.9</v>
      </c>
      <c r="Q170" s="85">
        <f t="shared" si="69"/>
        <v>5.9</v>
      </c>
      <c r="R170" s="55"/>
    </row>
    <row r="171" spans="1:18" ht="102" x14ac:dyDescent="0.2">
      <c r="A171" s="44" t="s">
        <v>182</v>
      </c>
      <c r="B171" s="45" t="s">
        <v>230</v>
      </c>
      <c r="C171" s="45" t="s">
        <v>178</v>
      </c>
      <c r="D171" s="45" t="s">
        <v>303</v>
      </c>
      <c r="E171" s="45" t="s">
        <v>227</v>
      </c>
      <c r="F171" s="45" t="s">
        <v>187</v>
      </c>
      <c r="G171" s="45" t="s">
        <v>209</v>
      </c>
      <c r="H171" s="45" t="s">
        <v>181</v>
      </c>
      <c r="I171" s="45" t="s">
        <v>302</v>
      </c>
      <c r="J171" s="46" t="s">
        <v>342</v>
      </c>
      <c r="K171" s="44" t="s">
        <v>426</v>
      </c>
      <c r="L171" s="85">
        <v>598.4</v>
      </c>
      <c r="M171" s="85">
        <v>598.45141999999998</v>
      </c>
      <c r="N171" s="85">
        <v>598.5</v>
      </c>
      <c r="O171" s="85">
        <v>5.9</v>
      </c>
      <c r="P171" s="85">
        <v>5.9</v>
      </c>
      <c r="Q171" s="85">
        <v>5.9</v>
      </c>
      <c r="R171" s="55"/>
    </row>
    <row r="172" spans="1:18" ht="102" x14ac:dyDescent="0.2">
      <c r="A172" s="44" t="s">
        <v>182</v>
      </c>
      <c r="B172" s="49">
        <v>905</v>
      </c>
      <c r="C172" s="45" t="s">
        <v>178</v>
      </c>
      <c r="D172" s="45" t="s">
        <v>303</v>
      </c>
      <c r="E172" s="45" t="s">
        <v>227</v>
      </c>
      <c r="F172" s="45" t="s">
        <v>187</v>
      </c>
      <c r="G172" s="45" t="s">
        <v>209</v>
      </c>
      <c r="H172" s="45" t="s">
        <v>181</v>
      </c>
      <c r="I172" s="45" t="s">
        <v>302</v>
      </c>
      <c r="J172" s="46" t="s">
        <v>342</v>
      </c>
      <c r="K172" s="44" t="s">
        <v>427</v>
      </c>
      <c r="L172" s="85">
        <v>0.5</v>
      </c>
      <c r="M172" s="85">
        <v>0.51556000000000002</v>
      </c>
      <c r="N172" s="85">
        <v>0.5</v>
      </c>
      <c r="O172" s="85">
        <v>0</v>
      </c>
      <c r="P172" s="85">
        <v>0</v>
      </c>
      <c r="Q172" s="85">
        <v>0</v>
      </c>
      <c r="R172" s="55"/>
    </row>
    <row r="173" spans="1:18" ht="102" x14ac:dyDescent="0.2">
      <c r="A173" s="44" t="s">
        <v>182</v>
      </c>
      <c r="B173" s="45" t="s">
        <v>277</v>
      </c>
      <c r="C173" s="45" t="s">
        <v>178</v>
      </c>
      <c r="D173" s="45" t="s">
        <v>303</v>
      </c>
      <c r="E173" s="45" t="s">
        <v>227</v>
      </c>
      <c r="F173" s="45" t="s">
        <v>187</v>
      </c>
      <c r="G173" s="45" t="s">
        <v>209</v>
      </c>
      <c r="H173" s="45" t="s">
        <v>181</v>
      </c>
      <c r="I173" s="45" t="s">
        <v>302</v>
      </c>
      <c r="J173" s="46" t="s">
        <v>342</v>
      </c>
      <c r="K173" s="44" t="s">
        <v>430</v>
      </c>
      <c r="L173" s="85">
        <v>1208.7</v>
      </c>
      <c r="M173" s="85">
        <v>1208.7217499999999</v>
      </c>
      <c r="N173" s="85">
        <v>1208.7</v>
      </c>
      <c r="O173" s="85">
        <v>0</v>
      </c>
      <c r="P173" s="85">
        <v>0</v>
      </c>
      <c r="Q173" s="85">
        <v>0</v>
      </c>
      <c r="R173" s="55"/>
    </row>
    <row r="174" spans="1:18" ht="102" x14ac:dyDescent="0.2">
      <c r="A174" s="44" t="s">
        <v>182</v>
      </c>
      <c r="B174" s="49" t="s">
        <v>286</v>
      </c>
      <c r="C174" s="45" t="s">
        <v>178</v>
      </c>
      <c r="D174" s="45" t="s">
        <v>303</v>
      </c>
      <c r="E174" s="45" t="s">
        <v>227</v>
      </c>
      <c r="F174" s="45" t="s">
        <v>187</v>
      </c>
      <c r="G174" s="45" t="s">
        <v>209</v>
      </c>
      <c r="H174" s="45" t="s">
        <v>181</v>
      </c>
      <c r="I174" s="45" t="s">
        <v>302</v>
      </c>
      <c r="J174" s="46" t="s">
        <v>342</v>
      </c>
      <c r="K174" s="44" t="s">
        <v>431</v>
      </c>
      <c r="L174" s="85">
        <v>1.4</v>
      </c>
      <c r="M174" s="85">
        <v>1.4649799999999999</v>
      </c>
      <c r="N174" s="85">
        <v>1.5</v>
      </c>
      <c r="O174" s="85">
        <v>0</v>
      </c>
      <c r="P174" s="85">
        <v>0</v>
      </c>
      <c r="Q174" s="85">
        <v>0</v>
      </c>
      <c r="R174" s="55"/>
    </row>
    <row r="175" spans="1:18" ht="102" x14ac:dyDescent="0.2">
      <c r="A175" s="44" t="s">
        <v>182</v>
      </c>
      <c r="B175" s="49">
        <v>929</v>
      </c>
      <c r="C175" s="45" t="s">
        <v>178</v>
      </c>
      <c r="D175" s="45" t="s">
        <v>303</v>
      </c>
      <c r="E175" s="45" t="s">
        <v>227</v>
      </c>
      <c r="F175" s="45" t="s">
        <v>187</v>
      </c>
      <c r="G175" s="45" t="s">
        <v>209</v>
      </c>
      <c r="H175" s="45" t="s">
        <v>181</v>
      </c>
      <c r="I175" s="45" t="s">
        <v>302</v>
      </c>
      <c r="J175" s="46" t="s">
        <v>342</v>
      </c>
      <c r="K175" s="44" t="s">
        <v>433</v>
      </c>
      <c r="L175" s="85">
        <v>1</v>
      </c>
      <c r="M175" s="85">
        <v>1.0468900000000001</v>
      </c>
      <c r="N175" s="85">
        <v>1</v>
      </c>
      <c r="O175" s="85">
        <v>0</v>
      </c>
      <c r="P175" s="85">
        <v>0</v>
      </c>
      <c r="Q175" s="85">
        <v>0</v>
      </c>
      <c r="R175" s="55"/>
    </row>
    <row r="176" spans="1:18" ht="102" x14ac:dyDescent="0.2">
      <c r="A176" s="44" t="s">
        <v>182</v>
      </c>
      <c r="B176" s="49">
        <v>953</v>
      </c>
      <c r="C176" s="45" t="s">
        <v>178</v>
      </c>
      <c r="D176" s="45" t="s">
        <v>303</v>
      </c>
      <c r="E176" s="45" t="s">
        <v>227</v>
      </c>
      <c r="F176" s="45" t="s">
        <v>187</v>
      </c>
      <c r="G176" s="45" t="s">
        <v>209</v>
      </c>
      <c r="H176" s="45" t="s">
        <v>181</v>
      </c>
      <c r="I176" s="45" t="s">
        <v>302</v>
      </c>
      <c r="J176" s="46" t="s">
        <v>342</v>
      </c>
      <c r="K176" s="44" t="s">
        <v>435</v>
      </c>
      <c r="L176" s="85">
        <v>0.1</v>
      </c>
      <c r="M176" s="85">
        <v>0.19264000000000001</v>
      </c>
      <c r="N176" s="85">
        <v>0.2</v>
      </c>
      <c r="O176" s="85">
        <v>0</v>
      </c>
      <c r="P176" s="85">
        <v>0</v>
      </c>
      <c r="Q176" s="85">
        <v>0</v>
      </c>
      <c r="R176" s="55"/>
    </row>
    <row r="177" spans="1:18" ht="102" customHeight="1" x14ac:dyDescent="0.2">
      <c r="A177" s="44" t="s">
        <v>182</v>
      </c>
      <c r="B177" s="45"/>
      <c r="C177" s="45" t="s">
        <v>178</v>
      </c>
      <c r="D177" s="45" t="s">
        <v>303</v>
      </c>
      <c r="E177" s="45" t="s">
        <v>227</v>
      </c>
      <c r="F177" s="45" t="s">
        <v>319</v>
      </c>
      <c r="G177" s="45" t="s">
        <v>179</v>
      </c>
      <c r="H177" s="45" t="s">
        <v>181</v>
      </c>
      <c r="I177" s="45" t="s">
        <v>302</v>
      </c>
      <c r="J177" s="46" t="s">
        <v>343</v>
      </c>
      <c r="K177" s="44"/>
      <c r="L177" s="85">
        <f>L178+L179</f>
        <v>11003.3</v>
      </c>
      <c r="M177" s="85">
        <f t="shared" ref="M177:Q177" si="70">M178+M179</f>
        <v>8424.9754300000004</v>
      </c>
      <c r="N177" s="85">
        <f t="shared" si="70"/>
        <v>11299.8</v>
      </c>
      <c r="O177" s="85">
        <f t="shared" si="70"/>
        <v>3799.7</v>
      </c>
      <c r="P177" s="85">
        <f t="shared" si="70"/>
        <v>3799.7</v>
      </c>
      <c r="Q177" s="85">
        <f t="shared" si="70"/>
        <v>3799.7</v>
      </c>
      <c r="R177" s="55"/>
    </row>
    <row r="178" spans="1:18" ht="91.5" customHeight="1" x14ac:dyDescent="0.2">
      <c r="A178" s="44" t="s">
        <v>182</v>
      </c>
      <c r="B178" s="45" t="s">
        <v>230</v>
      </c>
      <c r="C178" s="45" t="s">
        <v>178</v>
      </c>
      <c r="D178" s="45" t="s">
        <v>303</v>
      </c>
      <c r="E178" s="45" t="s">
        <v>227</v>
      </c>
      <c r="F178" s="45" t="s">
        <v>319</v>
      </c>
      <c r="G178" s="45" t="s">
        <v>209</v>
      </c>
      <c r="H178" s="45" t="s">
        <v>181</v>
      </c>
      <c r="I178" s="45" t="s">
        <v>302</v>
      </c>
      <c r="J178" s="46" t="s">
        <v>569</v>
      </c>
      <c r="K178" s="44" t="s">
        <v>426</v>
      </c>
      <c r="L178" s="85">
        <f>461.3+3.1+0.1+1.4+10396.4+78.8+62.1</f>
        <v>11003.199999999999</v>
      </c>
      <c r="M178" s="85">
        <v>8424.9754300000004</v>
      </c>
      <c r="N178" s="85">
        <v>11205.8</v>
      </c>
      <c r="O178" s="85">
        <v>3705.7</v>
      </c>
      <c r="P178" s="85">
        <v>3705.7</v>
      </c>
      <c r="Q178" s="85">
        <v>3705.7</v>
      </c>
      <c r="R178" s="55"/>
    </row>
    <row r="179" spans="1:18" ht="91.5" customHeight="1" x14ac:dyDescent="0.2">
      <c r="A179" s="44" t="s">
        <v>182</v>
      </c>
      <c r="B179" s="49" t="s">
        <v>286</v>
      </c>
      <c r="C179" s="45" t="s">
        <v>178</v>
      </c>
      <c r="D179" s="45" t="s">
        <v>303</v>
      </c>
      <c r="E179" s="45" t="s">
        <v>227</v>
      </c>
      <c r="F179" s="45" t="s">
        <v>319</v>
      </c>
      <c r="G179" s="45" t="s">
        <v>209</v>
      </c>
      <c r="H179" s="45" t="s">
        <v>181</v>
      </c>
      <c r="I179" s="45" t="s">
        <v>302</v>
      </c>
      <c r="J179" s="46" t="s">
        <v>569</v>
      </c>
      <c r="K179" s="44" t="s">
        <v>431</v>
      </c>
      <c r="L179" s="85">
        <v>0.1</v>
      </c>
      <c r="M179" s="85">
        <v>0</v>
      </c>
      <c r="N179" s="85">
        <v>94</v>
      </c>
      <c r="O179" s="85">
        <v>94</v>
      </c>
      <c r="P179" s="85">
        <v>94</v>
      </c>
      <c r="Q179" s="85">
        <v>94</v>
      </c>
      <c r="R179" s="55"/>
    </row>
    <row r="180" spans="1:18" ht="89.25" x14ac:dyDescent="0.2">
      <c r="A180" s="44" t="s">
        <v>182</v>
      </c>
      <c r="B180" s="45"/>
      <c r="C180" s="45" t="s">
        <v>178</v>
      </c>
      <c r="D180" s="45" t="s">
        <v>303</v>
      </c>
      <c r="E180" s="45" t="s">
        <v>232</v>
      </c>
      <c r="F180" s="45" t="s">
        <v>180</v>
      </c>
      <c r="G180" s="45" t="s">
        <v>179</v>
      </c>
      <c r="H180" s="45" t="s">
        <v>181</v>
      </c>
      <c r="I180" s="45" t="s">
        <v>302</v>
      </c>
      <c r="J180" s="46" t="s">
        <v>344</v>
      </c>
      <c r="K180" s="44"/>
      <c r="L180" s="85">
        <f t="shared" ref="L180:Q180" si="71">L181</f>
        <v>87.9</v>
      </c>
      <c r="M180" s="85">
        <f t="shared" si="71"/>
        <v>87.939800000000005</v>
      </c>
      <c r="N180" s="85">
        <f t="shared" si="71"/>
        <v>87.9</v>
      </c>
      <c r="O180" s="85">
        <f t="shared" si="71"/>
        <v>16.7</v>
      </c>
      <c r="P180" s="85">
        <f t="shared" si="71"/>
        <v>16.7</v>
      </c>
      <c r="Q180" s="85">
        <f t="shared" si="71"/>
        <v>16.7</v>
      </c>
      <c r="R180" s="55"/>
    </row>
    <row r="181" spans="1:18" ht="63.75" x14ac:dyDescent="0.2">
      <c r="A181" s="44" t="s">
        <v>182</v>
      </c>
      <c r="B181" s="45" t="s">
        <v>230</v>
      </c>
      <c r="C181" s="45" t="s">
        <v>178</v>
      </c>
      <c r="D181" s="45" t="s">
        <v>303</v>
      </c>
      <c r="E181" s="45" t="s">
        <v>232</v>
      </c>
      <c r="F181" s="45" t="s">
        <v>194</v>
      </c>
      <c r="G181" s="45" t="s">
        <v>209</v>
      </c>
      <c r="H181" s="45" t="s">
        <v>181</v>
      </c>
      <c r="I181" s="45" t="s">
        <v>302</v>
      </c>
      <c r="J181" s="46" t="s">
        <v>345</v>
      </c>
      <c r="K181" s="44" t="s">
        <v>426</v>
      </c>
      <c r="L181" s="85">
        <v>87.9</v>
      </c>
      <c r="M181" s="85">
        <v>87.939800000000005</v>
      </c>
      <c r="N181" s="85">
        <v>87.9</v>
      </c>
      <c r="O181" s="85">
        <v>16.7</v>
      </c>
      <c r="P181" s="85">
        <v>16.7</v>
      </c>
      <c r="Q181" s="85">
        <v>16.7</v>
      </c>
      <c r="R181" s="55"/>
    </row>
    <row r="182" spans="1:18" ht="38.25" x14ac:dyDescent="0.2">
      <c r="A182" s="44" t="s">
        <v>182</v>
      </c>
      <c r="B182" s="45"/>
      <c r="C182" s="45" t="s">
        <v>178</v>
      </c>
      <c r="D182" s="45" t="s">
        <v>303</v>
      </c>
      <c r="E182" s="45" t="s">
        <v>167</v>
      </c>
      <c r="F182" s="45" t="s">
        <v>180</v>
      </c>
      <c r="G182" s="45" t="s">
        <v>179</v>
      </c>
      <c r="H182" s="45" t="s">
        <v>181</v>
      </c>
      <c r="I182" s="45" t="s">
        <v>302</v>
      </c>
      <c r="J182" s="46" t="s">
        <v>346</v>
      </c>
      <c r="K182" s="44"/>
      <c r="L182" s="85">
        <f t="shared" ref="L182:Q182" si="72">L183+L185+L187</f>
        <v>356.3</v>
      </c>
      <c r="M182" s="85">
        <f t="shared" si="72"/>
        <v>356.24579999999997</v>
      </c>
      <c r="N182" s="85">
        <f t="shared" si="72"/>
        <v>406.3</v>
      </c>
      <c r="O182" s="85">
        <f t="shared" si="72"/>
        <v>73.800000000000011</v>
      </c>
      <c r="P182" s="85">
        <f t="shared" si="72"/>
        <v>73.800000000000011</v>
      </c>
      <c r="Q182" s="85">
        <f t="shared" si="72"/>
        <v>73.800000000000011</v>
      </c>
      <c r="R182" s="55"/>
    </row>
    <row r="183" spans="1:18" s="56" customFormat="1" ht="114.75" x14ac:dyDescent="0.2">
      <c r="A183" s="44" t="s">
        <v>182</v>
      </c>
      <c r="B183" s="45"/>
      <c r="C183" s="45" t="s">
        <v>178</v>
      </c>
      <c r="D183" s="45" t="s">
        <v>303</v>
      </c>
      <c r="E183" s="45" t="s">
        <v>167</v>
      </c>
      <c r="F183" s="49" t="s">
        <v>193</v>
      </c>
      <c r="G183" s="45" t="s">
        <v>209</v>
      </c>
      <c r="H183" s="45" t="s">
        <v>181</v>
      </c>
      <c r="I183" s="45" t="s">
        <v>302</v>
      </c>
      <c r="J183" s="46" t="s">
        <v>445</v>
      </c>
      <c r="K183" s="44"/>
      <c r="L183" s="85">
        <f>L184</f>
        <v>265.60000000000002</v>
      </c>
      <c r="M183" s="85">
        <f t="shared" ref="M183:Q183" si="73">M184</f>
        <v>265.63166999999999</v>
      </c>
      <c r="N183" s="85">
        <f t="shared" si="73"/>
        <v>265.60000000000002</v>
      </c>
      <c r="O183" s="85">
        <f t="shared" si="73"/>
        <v>0</v>
      </c>
      <c r="P183" s="85">
        <f t="shared" si="73"/>
        <v>0</v>
      </c>
      <c r="Q183" s="85">
        <f t="shared" si="73"/>
        <v>0</v>
      </c>
      <c r="R183" s="55"/>
    </row>
    <row r="184" spans="1:18" s="56" customFormat="1" ht="89.25" x14ac:dyDescent="0.2">
      <c r="A184" s="44" t="s">
        <v>182</v>
      </c>
      <c r="B184" s="45" t="s">
        <v>230</v>
      </c>
      <c r="C184" s="45" t="s">
        <v>178</v>
      </c>
      <c r="D184" s="45" t="s">
        <v>303</v>
      </c>
      <c r="E184" s="45" t="s">
        <v>167</v>
      </c>
      <c r="F184" s="49" t="s">
        <v>443</v>
      </c>
      <c r="G184" s="45" t="s">
        <v>209</v>
      </c>
      <c r="H184" s="45" t="s">
        <v>181</v>
      </c>
      <c r="I184" s="45" t="s">
        <v>302</v>
      </c>
      <c r="J184" s="46" t="s">
        <v>446</v>
      </c>
      <c r="K184" s="44" t="s">
        <v>426</v>
      </c>
      <c r="L184" s="85">
        <v>265.60000000000002</v>
      </c>
      <c r="M184" s="85">
        <v>265.63166999999999</v>
      </c>
      <c r="N184" s="85">
        <v>265.60000000000002</v>
      </c>
      <c r="O184" s="85">
        <v>0</v>
      </c>
      <c r="P184" s="85">
        <v>0</v>
      </c>
      <c r="Q184" s="85">
        <v>0</v>
      </c>
      <c r="R184" s="55"/>
    </row>
    <row r="185" spans="1:18" s="56" customFormat="1" ht="39.75" customHeight="1" x14ac:dyDescent="0.2">
      <c r="A185" s="44" t="s">
        <v>182</v>
      </c>
      <c r="B185" s="45"/>
      <c r="C185" s="45" t="s">
        <v>178</v>
      </c>
      <c r="D185" s="45" t="s">
        <v>303</v>
      </c>
      <c r="E185" s="45" t="s">
        <v>167</v>
      </c>
      <c r="F185" s="49" t="s">
        <v>279</v>
      </c>
      <c r="G185" s="45" t="s">
        <v>179</v>
      </c>
      <c r="H185" s="45" t="s">
        <v>181</v>
      </c>
      <c r="I185" s="45" t="s">
        <v>302</v>
      </c>
      <c r="J185" s="46" t="s">
        <v>447</v>
      </c>
      <c r="K185" s="44"/>
      <c r="L185" s="85">
        <f>L186</f>
        <v>25</v>
      </c>
      <c r="M185" s="85">
        <f t="shared" ref="M185:Q185" si="74">M186</f>
        <v>25</v>
      </c>
      <c r="N185" s="85">
        <f t="shared" si="74"/>
        <v>25</v>
      </c>
      <c r="O185" s="85">
        <f t="shared" si="74"/>
        <v>0</v>
      </c>
      <c r="P185" s="85">
        <f t="shared" si="74"/>
        <v>0</v>
      </c>
      <c r="Q185" s="85">
        <f t="shared" si="74"/>
        <v>0</v>
      </c>
      <c r="R185" s="55"/>
    </row>
    <row r="186" spans="1:18" s="56" customFormat="1" ht="204.75" customHeight="1" x14ac:dyDescent="0.2">
      <c r="A186" s="44" t="s">
        <v>182</v>
      </c>
      <c r="B186" s="49" t="s">
        <v>287</v>
      </c>
      <c r="C186" s="45" t="s">
        <v>178</v>
      </c>
      <c r="D186" s="45" t="s">
        <v>303</v>
      </c>
      <c r="E186" s="45" t="s">
        <v>167</v>
      </c>
      <c r="F186" s="49" t="s">
        <v>444</v>
      </c>
      <c r="G186" s="45" t="s">
        <v>209</v>
      </c>
      <c r="H186" s="45" t="s">
        <v>181</v>
      </c>
      <c r="I186" s="45" t="s">
        <v>302</v>
      </c>
      <c r="J186" s="46" t="s">
        <v>448</v>
      </c>
      <c r="K186" s="44" t="s">
        <v>428</v>
      </c>
      <c r="L186" s="85">
        <v>25</v>
      </c>
      <c r="M186" s="85">
        <v>25</v>
      </c>
      <c r="N186" s="85">
        <v>25</v>
      </c>
      <c r="O186" s="85">
        <v>0</v>
      </c>
      <c r="P186" s="85">
        <v>0</v>
      </c>
      <c r="Q186" s="85">
        <v>0</v>
      </c>
      <c r="R186" s="55"/>
    </row>
    <row r="187" spans="1:18" ht="90" customHeight="1" x14ac:dyDescent="0.2">
      <c r="A187" s="44" t="s">
        <v>182</v>
      </c>
      <c r="B187" s="45"/>
      <c r="C187" s="45" t="s">
        <v>178</v>
      </c>
      <c r="D187" s="45" t="s">
        <v>303</v>
      </c>
      <c r="E187" s="45" t="s">
        <v>167</v>
      </c>
      <c r="F187" s="45" t="s">
        <v>235</v>
      </c>
      <c r="G187" s="45" t="s">
        <v>179</v>
      </c>
      <c r="H187" s="45" t="s">
        <v>181</v>
      </c>
      <c r="I187" s="45" t="s">
        <v>302</v>
      </c>
      <c r="J187" s="46" t="s">
        <v>347</v>
      </c>
      <c r="K187" s="44"/>
      <c r="L187" s="85">
        <f t="shared" ref="L187:Q187" si="75">SUM(L188:L195)</f>
        <v>65.7</v>
      </c>
      <c r="M187" s="85">
        <f t="shared" si="75"/>
        <v>65.614130000000003</v>
      </c>
      <c r="N187" s="85">
        <f t="shared" si="75"/>
        <v>115.7</v>
      </c>
      <c r="O187" s="85">
        <f t="shared" si="75"/>
        <v>73.800000000000011</v>
      </c>
      <c r="P187" s="85">
        <f t="shared" si="75"/>
        <v>73.800000000000011</v>
      </c>
      <c r="Q187" s="85">
        <f t="shared" si="75"/>
        <v>73.800000000000011</v>
      </c>
      <c r="R187" s="55"/>
    </row>
    <row r="188" spans="1:18" ht="78" customHeight="1" x14ac:dyDescent="0.2">
      <c r="A188" s="44" t="s">
        <v>182</v>
      </c>
      <c r="B188" s="45" t="s">
        <v>348</v>
      </c>
      <c r="C188" s="45" t="s">
        <v>178</v>
      </c>
      <c r="D188" s="45" t="s">
        <v>303</v>
      </c>
      <c r="E188" s="45" t="s">
        <v>167</v>
      </c>
      <c r="F188" s="45" t="s">
        <v>321</v>
      </c>
      <c r="G188" s="45" t="s">
        <v>183</v>
      </c>
      <c r="H188" s="45" t="s">
        <v>181</v>
      </c>
      <c r="I188" s="45" t="s">
        <v>302</v>
      </c>
      <c r="J188" s="46" t="s">
        <v>552</v>
      </c>
      <c r="K188" s="44" t="s">
        <v>420</v>
      </c>
      <c r="L188" s="85">
        <v>52.1</v>
      </c>
      <c r="M188" s="85">
        <v>52.19</v>
      </c>
      <c r="N188" s="85">
        <v>52.2</v>
      </c>
      <c r="O188" s="85">
        <v>23.6</v>
      </c>
      <c r="P188" s="85">
        <v>23.6</v>
      </c>
      <c r="Q188" s="85">
        <v>23.6</v>
      </c>
      <c r="R188" s="55"/>
    </row>
    <row r="189" spans="1:18" ht="78" customHeight="1" x14ac:dyDescent="0.2">
      <c r="A189" s="44" t="s">
        <v>182</v>
      </c>
      <c r="B189" s="45" t="s">
        <v>349</v>
      </c>
      <c r="C189" s="45" t="s">
        <v>178</v>
      </c>
      <c r="D189" s="45" t="s">
        <v>303</v>
      </c>
      <c r="E189" s="45" t="s">
        <v>167</v>
      </c>
      <c r="F189" s="45" t="s">
        <v>321</v>
      </c>
      <c r="G189" s="45" t="s">
        <v>183</v>
      </c>
      <c r="H189" s="45" t="s">
        <v>181</v>
      </c>
      <c r="I189" s="45" t="s">
        <v>302</v>
      </c>
      <c r="J189" s="46" t="s">
        <v>552</v>
      </c>
      <c r="K189" s="44" t="s">
        <v>421</v>
      </c>
      <c r="L189" s="85">
        <v>0</v>
      </c>
      <c r="M189" s="85">
        <v>-0.113</v>
      </c>
      <c r="N189" s="85">
        <v>43.8</v>
      </c>
      <c r="O189" s="85">
        <v>43.8</v>
      </c>
      <c r="P189" s="85">
        <v>43.8</v>
      </c>
      <c r="Q189" s="85">
        <v>43.8</v>
      </c>
      <c r="R189" s="55"/>
    </row>
    <row r="190" spans="1:18" ht="78" customHeight="1" x14ac:dyDescent="0.2">
      <c r="A190" s="44" t="s">
        <v>182</v>
      </c>
      <c r="B190" s="49" t="s">
        <v>461</v>
      </c>
      <c r="C190" s="45" t="s">
        <v>178</v>
      </c>
      <c r="D190" s="45" t="s">
        <v>303</v>
      </c>
      <c r="E190" s="45" t="s">
        <v>167</v>
      </c>
      <c r="F190" s="45" t="s">
        <v>321</v>
      </c>
      <c r="G190" s="45" t="s">
        <v>183</v>
      </c>
      <c r="H190" s="45" t="s">
        <v>181</v>
      </c>
      <c r="I190" s="45" t="s">
        <v>302</v>
      </c>
      <c r="J190" s="46" t="s">
        <v>552</v>
      </c>
      <c r="K190" s="44" t="s">
        <v>418</v>
      </c>
      <c r="L190" s="85">
        <v>0.1</v>
      </c>
      <c r="M190" s="85">
        <v>0</v>
      </c>
      <c r="N190" s="85">
        <v>0</v>
      </c>
      <c r="O190" s="85">
        <v>0</v>
      </c>
      <c r="P190" s="85">
        <v>0</v>
      </c>
      <c r="Q190" s="85">
        <v>0</v>
      </c>
      <c r="R190" s="55"/>
    </row>
    <row r="191" spans="1:18" ht="78" customHeight="1" x14ac:dyDescent="0.2">
      <c r="A191" s="44" t="s">
        <v>182</v>
      </c>
      <c r="B191" s="45" t="s">
        <v>190</v>
      </c>
      <c r="C191" s="45" t="s">
        <v>178</v>
      </c>
      <c r="D191" s="45" t="s">
        <v>303</v>
      </c>
      <c r="E191" s="45" t="s">
        <v>167</v>
      </c>
      <c r="F191" s="45" t="s">
        <v>321</v>
      </c>
      <c r="G191" s="45" t="s">
        <v>183</v>
      </c>
      <c r="H191" s="45" t="s">
        <v>181</v>
      </c>
      <c r="I191" s="45" t="s">
        <v>302</v>
      </c>
      <c r="J191" s="46" t="s">
        <v>552</v>
      </c>
      <c r="K191" s="44" t="s">
        <v>422</v>
      </c>
      <c r="L191" s="85">
        <v>0.1</v>
      </c>
      <c r="M191" s="85">
        <v>0</v>
      </c>
      <c r="N191" s="85">
        <v>0</v>
      </c>
      <c r="O191" s="85">
        <v>0</v>
      </c>
      <c r="P191" s="85">
        <v>0</v>
      </c>
      <c r="Q191" s="85">
        <v>0</v>
      </c>
      <c r="R191" s="55"/>
    </row>
    <row r="192" spans="1:18" ht="78" customHeight="1" x14ac:dyDescent="0.2">
      <c r="A192" s="44" t="s">
        <v>182</v>
      </c>
      <c r="B192" s="45" t="s">
        <v>226</v>
      </c>
      <c r="C192" s="45" t="s">
        <v>178</v>
      </c>
      <c r="D192" s="45" t="s">
        <v>303</v>
      </c>
      <c r="E192" s="45" t="s">
        <v>167</v>
      </c>
      <c r="F192" s="45" t="s">
        <v>321</v>
      </c>
      <c r="G192" s="45" t="s">
        <v>183</v>
      </c>
      <c r="H192" s="45" t="s">
        <v>181</v>
      </c>
      <c r="I192" s="45" t="s">
        <v>302</v>
      </c>
      <c r="J192" s="46" t="s">
        <v>552</v>
      </c>
      <c r="K192" s="44" t="s">
        <v>423</v>
      </c>
      <c r="L192" s="85">
        <v>12.8</v>
      </c>
      <c r="M192" s="85">
        <v>12.84934</v>
      </c>
      <c r="N192" s="85">
        <v>12.8</v>
      </c>
      <c r="O192" s="85">
        <v>0</v>
      </c>
      <c r="P192" s="85">
        <v>0</v>
      </c>
      <c r="Q192" s="85">
        <v>0</v>
      </c>
      <c r="R192" s="55"/>
    </row>
    <row r="193" spans="1:18" ht="78" customHeight="1" x14ac:dyDescent="0.2">
      <c r="A193" s="44" t="s">
        <v>182</v>
      </c>
      <c r="B193" s="45" t="s">
        <v>350</v>
      </c>
      <c r="C193" s="45" t="s">
        <v>178</v>
      </c>
      <c r="D193" s="45" t="s">
        <v>303</v>
      </c>
      <c r="E193" s="45" t="s">
        <v>167</v>
      </c>
      <c r="F193" s="45" t="s">
        <v>321</v>
      </c>
      <c r="G193" s="45" t="s">
        <v>183</v>
      </c>
      <c r="H193" s="45" t="s">
        <v>181</v>
      </c>
      <c r="I193" s="45" t="s">
        <v>302</v>
      </c>
      <c r="J193" s="46" t="s">
        <v>552</v>
      </c>
      <c r="K193" s="44" t="s">
        <v>424</v>
      </c>
      <c r="L193" s="85">
        <v>0.5</v>
      </c>
      <c r="M193" s="85">
        <v>0.5</v>
      </c>
      <c r="N193" s="85">
        <v>0.5</v>
      </c>
      <c r="O193" s="85">
        <v>0</v>
      </c>
      <c r="P193" s="85">
        <v>0</v>
      </c>
      <c r="Q193" s="85">
        <v>0</v>
      </c>
      <c r="R193" s="55"/>
    </row>
    <row r="194" spans="1:18" ht="78.75" customHeight="1" x14ac:dyDescent="0.2">
      <c r="A194" s="44" t="s">
        <v>182</v>
      </c>
      <c r="B194" s="45" t="s">
        <v>230</v>
      </c>
      <c r="C194" s="45" t="s">
        <v>178</v>
      </c>
      <c r="D194" s="45" t="s">
        <v>303</v>
      </c>
      <c r="E194" s="45" t="s">
        <v>167</v>
      </c>
      <c r="F194" s="45" t="s">
        <v>321</v>
      </c>
      <c r="G194" s="45" t="s">
        <v>183</v>
      </c>
      <c r="H194" s="45" t="s">
        <v>181</v>
      </c>
      <c r="I194" s="45" t="s">
        <v>302</v>
      </c>
      <c r="J194" s="46" t="s">
        <v>552</v>
      </c>
      <c r="K194" s="44" t="s">
        <v>426</v>
      </c>
      <c r="L194" s="85">
        <v>0</v>
      </c>
      <c r="M194" s="85">
        <v>2.9E-4</v>
      </c>
      <c r="N194" s="85">
        <v>0</v>
      </c>
      <c r="O194" s="85">
        <v>0</v>
      </c>
      <c r="P194" s="85">
        <v>0</v>
      </c>
      <c r="Q194" s="85">
        <v>0</v>
      </c>
      <c r="R194" s="55"/>
    </row>
    <row r="195" spans="1:18" ht="90" customHeight="1" x14ac:dyDescent="0.2">
      <c r="A195" s="44" t="s">
        <v>182</v>
      </c>
      <c r="B195" s="45" t="s">
        <v>190</v>
      </c>
      <c r="C195" s="45" t="s">
        <v>178</v>
      </c>
      <c r="D195" s="45" t="s">
        <v>303</v>
      </c>
      <c r="E195" s="45" t="s">
        <v>167</v>
      </c>
      <c r="F195" s="45" t="s">
        <v>351</v>
      </c>
      <c r="G195" s="45" t="s">
        <v>183</v>
      </c>
      <c r="H195" s="45" t="s">
        <v>181</v>
      </c>
      <c r="I195" s="45" t="s">
        <v>302</v>
      </c>
      <c r="J195" s="46" t="s">
        <v>352</v>
      </c>
      <c r="K195" s="44" t="s">
        <v>422</v>
      </c>
      <c r="L195" s="85">
        <v>0.1</v>
      </c>
      <c r="M195" s="85">
        <v>0.1875</v>
      </c>
      <c r="N195" s="85">
        <v>6.4</v>
      </c>
      <c r="O195" s="85">
        <v>6.4</v>
      </c>
      <c r="P195" s="85">
        <v>6.4</v>
      </c>
      <c r="Q195" s="85">
        <v>6.4</v>
      </c>
      <c r="R195" s="55"/>
    </row>
    <row r="196" spans="1:18" ht="38.25" x14ac:dyDescent="0.2">
      <c r="A196" s="44" t="s">
        <v>182</v>
      </c>
      <c r="B196" s="45"/>
      <c r="C196" s="45" t="s">
        <v>178</v>
      </c>
      <c r="D196" s="45" t="s">
        <v>303</v>
      </c>
      <c r="E196" s="45" t="s">
        <v>168</v>
      </c>
      <c r="F196" s="45" t="s">
        <v>180</v>
      </c>
      <c r="G196" s="45" t="s">
        <v>183</v>
      </c>
      <c r="H196" s="45" t="s">
        <v>181</v>
      </c>
      <c r="I196" s="45" t="s">
        <v>302</v>
      </c>
      <c r="J196" s="46" t="s">
        <v>353</v>
      </c>
      <c r="K196" s="44"/>
      <c r="L196" s="85">
        <f>L197+L198</f>
        <v>358.6</v>
      </c>
      <c r="M196" s="85">
        <f t="shared" ref="M196:Q196" si="76">M197+M198</f>
        <v>358.67905999999999</v>
      </c>
      <c r="N196" s="85">
        <f t="shared" si="76"/>
        <v>358.7</v>
      </c>
      <c r="O196" s="85">
        <f t="shared" si="76"/>
        <v>40.1</v>
      </c>
      <c r="P196" s="85">
        <f t="shared" si="76"/>
        <v>36.799999999999997</v>
      </c>
      <c r="Q196" s="85">
        <f t="shared" si="76"/>
        <v>35.700000000000003</v>
      </c>
      <c r="R196" s="55"/>
    </row>
    <row r="197" spans="1:18" ht="140.25" x14ac:dyDescent="0.2">
      <c r="A197" s="44" t="s">
        <v>182</v>
      </c>
      <c r="B197" s="45" t="s">
        <v>264</v>
      </c>
      <c r="C197" s="45" t="s">
        <v>178</v>
      </c>
      <c r="D197" s="45" t="s">
        <v>303</v>
      </c>
      <c r="E197" s="45" t="s">
        <v>168</v>
      </c>
      <c r="F197" s="45" t="s">
        <v>195</v>
      </c>
      <c r="G197" s="45" t="s">
        <v>183</v>
      </c>
      <c r="H197" s="45" t="s">
        <v>181</v>
      </c>
      <c r="I197" s="45" t="s">
        <v>302</v>
      </c>
      <c r="J197" s="46" t="s">
        <v>453</v>
      </c>
      <c r="K197" s="44" t="s">
        <v>419</v>
      </c>
      <c r="L197" s="85">
        <v>324.3</v>
      </c>
      <c r="M197" s="85">
        <v>324.32400000000001</v>
      </c>
      <c r="N197" s="85">
        <v>324.3</v>
      </c>
      <c r="O197" s="85">
        <v>0</v>
      </c>
      <c r="P197" s="85">
        <v>0</v>
      </c>
      <c r="Q197" s="85">
        <v>0</v>
      </c>
      <c r="R197" s="55"/>
    </row>
    <row r="198" spans="1:18" ht="140.25" x14ac:dyDescent="0.2">
      <c r="A198" s="44" t="s">
        <v>182</v>
      </c>
      <c r="B198" s="49" t="s">
        <v>462</v>
      </c>
      <c r="C198" s="45" t="s">
        <v>178</v>
      </c>
      <c r="D198" s="45" t="s">
        <v>303</v>
      </c>
      <c r="E198" s="45" t="s">
        <v>168</v>
      </c>
      <c r="F198" s="45" t="s">
        <v>195</v>
      </c>
      <c r="G198" s="45" t="s">
        <v>183</v>
      </c>
      <c r="H198" s="45" t="s">
        <v>181</v>
      </c>
      <c r="I198" s="45" t="s">
        <v>302</v>
      </c>
      <c r="J198" s="46" t="s">
        <v>453</v>
      </c>
      <c r="K198" s="44" t="s">
        <v>449</v>
      </c>
      <c r="L198" s="85">
        <v>34.299999999999997</v>
      </c>
      <c r="M198" s="85">
        <v>34.355060000000002</v>
      </c>
      <c r="N198" s="85">
        <v>34.4</v>
      </c>
      <c r="O198" s="85">
        <v>40.1</v>
      </c>
      <c r="P198" s="85">
        <v>36.799999999999997</v>
      </c>
      <c r="Q198" s="85">
        <v>35.700000000000003</v>
      </c>
      <c r="R198" s="55"/>
    </row>
    <row r="199" spans="1:18" ht="38.25" x14ac:dyDescent="0.2">
      <c r="A199" s="44" t="s">
        <v>182</v>
      </c>
      <c r="B199" s="45"/>
      <c r="C199" s="45" t="s">
        <v>178</v>
      </c>
      <c r="D199" s="45" t="s">
        <v>354</v>
      </c>
      <c r="E199" s="45" t="s">
        <v>179</v>
      </c>
      <c r="F199" s="45" t="s">
        <v>180</v>
      </c>
      <c r="G199" s="45" t="s">
        <v>179</v>
      </c>
      <c r="H199" s="45" t="s">
        <v>181</v>
      </c>
      <c r="I199" s="45" t="s">
        <v>180</v>
      </c>
      <c r="J199" s="46" t="s">
        <v>355</v>
      </c>
      <c r="K199" s="44"/>
      <c r="L199" s="85">
        <f>L200+L202</f>
        <v>6</v>
      </c>
      <c r="M199" s="85">
        <f t="shared" ref="M199:Q199" si="77">M200+M202</f>
        <v>9.7627699999999997</v>
      </c>
      <c r="N199" s="85">
        <f t="shared" si="77"/>
        <v>6</v>
      </c>
      <c r="O199" s="85">
        <f t="shared" si="77"/>
        <v>0</v>
      </c>
      <c r="P199" s="85">
        <f t="shared" si="77"/>
        <v>0</v>
      </c>
      <c r="Q199" s="85">
        <f t="shared" si="77"/>
        <v>0</v>
      </c>
    </row>
    <row r="200" spans="1:18" ht="38.25" x14ac:dyDescent="0.2">
      <c r="A200" s="44" t="s">
        <v>182</v>
      </c>
      <c r="B200" s="45"/>
      <c r="C200" s="45" t="s">
        <v>178</v>
      </c>
      <c r="D200" s="45" t="s">
        <v>354</v>
      </c>
      <c r="E200" s="45" t="s">
        <v>183</v>
      </c>
      <c r="F200" s="45" t="s">
        <v>180</v>
      </c>
      <c r="G200" s="45" t="s">
        <v>179</v>
      </c>
      <c r="H200" s="45" t="s">
        <v>181</v>
      </c>
      <c r="I200" s="45" t="s">
        <v>329</v>
      </c>
      <c r="J200" s="46" t="s">
        <v>356</v>
      </c>
      <c r="K200" s="44"/>
      <c r="L200" s="85">
        <f>L201</f>
        <v>0</v>
      </c>
      <c r="M200" s="85">
        <f t="shared" ref="M200:Q200" si="78">M201</f>
        <v>3.7275100000000001</v>
      </c>
      <c r="N200" s="85">
        <f t="shared" si="78"/>
        <v>0</v>
      </c>
      <c r="O200" s="85">
        <f t="shared" si="78"/>
        <v>0</v>
      </c>
      <c r="P200" s="85">
        <f t="shared" si="78"/>
        <v>0</v>
      </c>
      <c r="Q200" s="85">
        <f t="shared" si="78"/>
        <v>0</v>
      </c>
    </row>
    <row r="201" spans="1:18" ht="38.25" x14ac:dyDescent="0.2">
      <c r="A201" s="44" t="s">
        <v>182</v>
      </c>
      <c r="B201" s="45" t="s">
        <v>230</v>
      </c>
      <c r="C201" s="45" t="s">
        <v>178</v>
      </c>
      <c r="D201" s="45" t="s">
        <v>354</v>
      </c>
      <c r="E201" s="45" t="s">
        <v>183</v>
      </c>
      <c r="F201" s="45" t="s">
        <v>195</v>
      </c>
      <c r="G201" s="45" t="s">
        <v>209</v>
      </c>
      <c r="H201" s="45" t="s">
        <v>181</v>
      </c>
      <c r="I201" s="45" t="s">
        <v>329</v>
      </c>
      <c r="J201" s="46" t="s">
        <v>357</v>
      </c>
      <c r="K201" s="44" t="s">
        <v>426</v>
      </c>
      <c r="L201" s="85">
        <v>0</v>
      </c>
      <c r="M201" s="85">
        <v>3.7275100000000001</v>
      </c>
      <c r="N201" s="85">
        <v>0</v>
      </c>
      <c r="O201" s="85">
        <v>0</v>
      </c>
      <c r="P201" s="85">
        <v>0</v>
      </c>
      <c r="Q201" s="85">
        <v>0</v>
      </c>
    </row>
    <row r="202" spans="1:18" s="56" customFormat="1" ht="38.25" x14ac:dyDescent="0.2">
      <c r="A202" s="44" t="s">
        <v>182</v>
      </c>
      <c r="B202" s="45"/>
      <c r="C202" s="45" t="s">
        <v>178</v>
      </c>
      <c r="D202" s="45" t="s">
        <v>354</v>
      </c>
      <c r="E202" s="45" t="s">
        <v>209</v>
      </c>
      <c r="F202" s="45" t="s">
        <v>180</v>
      </c>
      <c r="G202" s="45" t="s">
        <v>179</v>
      </c>
      <c r="H202" s="45" t="s">
        <v>181</v>
      </c>
      <c r="I202" s="45" t="s">
        <v>329</v>
      </c>
      <c r="J202" s="46" t="s">
        <v>355</v>
      </c>
      <c r="K202" s="44"/>
      <c r="L202" s="85">
        <f>L203</f>
        <v>6</v>
      </c>
      <c r="M202" s="85">
        <f t="shared" ref="M202:Q202" si="79">M203</f>
        <v>6.0352600000000001</v>
      </c>
      <c r="N202" s="85">
        <f t="shared" si="79"/>
        <v>6</v>
      </c>
      <c r="O202" s="85">
        <f t="shared" si="79"/>
        <v>0</v>
      </c>
      <c r="P202" s="85">
        <f t="shared" si="79"/>
        <v>0</v>
      </c>
      <c r="Q202" s="85">
        <f t="shared" si="79"/>
        <v>0</v>
      </c>
      <c r="R202" s="67"/>
    </row>
    <row r="203" spans="1:18" s="56" customFormat="1" ht="38.25" x14ac:dyDescent="0.2">
      <c r="A203" s="44" t="s">
        <v>182</v>
      </c>
      <c r="B203" s="45" t="s">
        <v>230</v>
      </c>
      <c r="C203" s="45" t="s">
        <v>178</v>
      </c>
      <c r="D203" s="45" t="s">
        <v>354</v>
      </c>
      <c r="E203" s="45" t="s">
        <v>209</v>
      </c>
      <c r="F203" s="45" t="s">
        <v>195</v>
      </c>
      <c r="G203" s="45" t="s">
        <v>209</v>
      </c>
      <c r="H203" s="45" t="s">
        <v>181</v>
      </c>
      <c r="I203" s="45" t="s">
        <v>329</v>
      </c>
      <c r="J203" s="46" t="s">
        <v>553</v>
      </c>
      <c r="K203" s="44" t="s">
        <v>426</v>
      </c>
      <c r="L203" s="85">
        <v>6</v>
      </c>
      <c r="M203" s="85">
        <v>6.0352600000000001</v>
      </c>
      <c r="N203" s="85">
        <v>6</v>
      </c>
      <c r="O203" s="85">
        <v>0</v>
      </c>
      <c r="P203" s="85">
        <v>0</v>
      </c>
      <c r="Q203" s="85">
        <v>0</v>
      </c>
      <c r="R203" s="67"/>
    </row>
    <row r="204" spans="1:18" s="54" customFormat="1" ht="25.5" x14ac:dyDescent="0.2">
      <c r="A204" s="51" t="s">
        <v>359</v>
      </c>
      <c r="B204" s="52"/>
      <c r="C204" s="52" t="s">
        <v>358</v>
      </c>
      <c r="D204" s="52" t="s">
        <v>179</v>
      </c>
      <c r="E204" s="52" t="s">
        <v>179</v>
      </c>
      <c r="F204" s="52" t="s">
        <v>180</v>
      </c>
      <c r="G204" s="52" t="s">
        <v>179</v>
      </c>
      <c r="H204" s="52" t="s">
        <v>181</v>
      </c>
      <c r="I204" s="52" t="s">
        <v>180</v>
      </c>
      <c r="J204" s="53" t="s">
        <v>359</v>
      </c>
      <c r="K204" s="51"/>
      <c r="L204" s="86">
        <f t="shared" ref="L204:Q204" si="80">L205+L257+L260+L265</f>
        <v>2151664.7664900003</v>
      </c>
      <c r="M204" s="86">
        <f t="shared" si="80"/>
        <v>1589689.5339199998</v>
      </c>
      <c r="N204" s="86">
        <f t="shared" si="80"/>
        <v>2150179.7007499998</v>
      </c>
      <c r="O204" s="86">
        <f t="shared" si="80"/>
        <v>2475308.463</v>
      </c>
      <c r="P204" s="86">
        <f t="shared" si="80"/>
        <v>1733324.5999999999</v>
      </c>
      <c r="Q204" s="86">
        <f t="shared" si="80"/>
        <v>1610772.8000000003</v>
      </c>
      <c r="R204" s="70"/>
    </row>
    <row r="205" spans="1:18" ht="38.25" x14ac:dyDescent="0.2">
      <c r="A205" s="44" t="s">
        <v>359</v>
      </c>
      <c r="B205" s="45"/>
      <c r="C205" s="45" t="s">
        <v>358</v>
      </c>
      <c r="D205" s="45" t="s">
        <v>189</v>
      </c>
      <c r="E205" s="45" t="s">
        <v>179</v>
      </c>
      <c r="F205" s="45" t="s">
        <v>180</v>
      </c>
      <c r="G205" s="45" t="s">
        <v>179</v>
      </c>
      <c r="H205" s="45" t="s">
        <v>181</v>
      </c>
      <c r="I205" s="45" t="s">
        <v>180</v>
      </c>
      <c r="J205" s="46" t="s">
        <v>360</v>
      </c>
      <c r="K205" s="44"/>
      <c r="L205" s="85">
        <f t="shared" ref="L205:Q205" si="81">L206+L211+L229+L246</f>
        <v>2155800.7770000002</v>
      </c>
      <c r="M205" s="85">
        <f t="shared" si="81"/>
        <v>1593815.5444299998</v>
      </c>
      <c r="N205" s="85">
        <f t="shared" si="81"/>
        <v>2154306.2769999998</v>
      </c>
      <c r="O205" s="85">
        <f t="shared" si="81"/>
        <v>2475308.463</v>
      </c>
      <c r="P205" s="85">
        <f t="shared" si="81"/>
        <v>1733324.5999999999</v>
      </c>
      <c r="Q205" s="85">
        <f t="shared" si="81"/>
        <v>1610772.8000000003</v>
      </c>
    </row>
    <row r="206" spans="1:18" ht="25.5" x14ac:dyDescent="0.2">
      <c r="A206" s="44" t="s">
        <v>359</v>
      </c>
      <c r="B206" s="45"/>
      <c r="C206" s="45" t="s">
        <v>358</v>
      </c>
      <c r="D206" s="45" t="s">
        <v>189</v>
      </c>
      <c r="E206" s="45" t="s">
        <v>167</v>
      </c>
      <c r="F206" s="45" t="s">
        <v>180</v>
      </c>
      <c r="G206" s="45" t="s">
        <v>179</v>
      </c>
      <c r="H206" s="45" t="s">
        <v>181</v>
      </c>
      <c r="I206" s="45" t="s">
        <v>229</v>
      </c>
      <c r="J206" s="46" t="s">
        <v>361</v>
      </c>
      <c r="K206" s="44"/>
      <c r="L206" s="85">
        <f>L207+L209</f>
        <v>23316.400000000001</v>
      </c>
      <c r="M206" s="85">
        <f t="shared" ref="M206:Q206" si="82">M207+M209</f>
        <v>23316.400000000001</v>
      </c>
      <c r="N206" s="85">
        <f t="shared" si="82"/>
        <v>23316.400000000001</v>
      </c>
      <c r="O206" s="85">
        <f t="shared" si="82"/>
        <v>0</v>
      </c>
      <c r="P206" s="85">
        <f t="shared" si="82"/>
        <v>0</v>
      </c>
      <c r="Q206" s="85">
        <f t="shared" si="82"/>
        <v>0</v>
      </c>
    </row>
    <row r="207" spans="1:18" s="56" customFormat="1" ht="38.25" x14ac:dyDescent="0.2">
      <c r="A207" s="44" t="s">
        <v>359</v>
      </c>
      <c r="B207" s="45"/>
      <c r="C207" s="45" t="s">
        <v>358</v>
      </c>
      <c r="D207" s="45" t="s">
        <v>189</v>
      </c>
      <c r="E207" s="49" t="s">
        <v>172</v>
      </c>
      <c r="F207" s="49" t="s">
        <v>491</v>
      </c>
      <c r="G207" s="45" t="s">
        <v>179</v>
      </c>
      <c r="H207" s="45" t="s">
        <v>181</v>
      </c>
      <c r="I207" s="45" t="s">
        <v>229</v>
      </c>
      <c r="J207" s="46" t="s">
        <v>492</v>
      </c>
      <c r="K207" s="44"/>
      <c r="L207" s="85">
        <f>L208</f>
        <v>15108.6</v>
      </c>
      <c r="M207" s="85">
        <f t="shared" ref="M207:Q207" si="83">M208</f>
        <v>15108.6</v>
      </c>
      <c r="N207" s="85">
        <f t="shared" si="83"/>
        <v>15108.6</v>
      </c>
      <c r="O207" s="85">
        <f>O208</f>
        <v>0</v>
      </c>
      <c r="P207" s="85">
        <f t="shared" si="83"/>
        <v>0</v>
      </c>
      <c r="Q207" s="85">
        <f t="shared" si="83"/>
        <v>0</v>
      </c>
      <c r="R207" s="67"/>
    </row>
    <row r="208" spans="1:18" s="56" customFormat="1" ht="51" x14ac:dyDescent="0.2">
      <c r="A208" s="44" t="s">
        <v>359</v>
      </c>
      <c r="B208" s="49" t="s">
        <v>282</v>
      </c>
      <c r="C208" s="45" t="s">
        <v>358</v>
      </c>
      <c r="D208" s="45" t="s">
        <v>189</v>
      </c>
      <c r="E208" s="49" t="s">
        <v>172</v>
      </c>
      <c r="F208" s="49" t="s">
        <v>491</v>
      </c>
      <c r="G208" s="45" t="s">
        <v>209</v>
      </c>
      <c r="H208" s="45" t="s">
        <v>181</v>
      </c>
      <c r="I208" s="45" t="s">
        <v>229</v>
      </c>
      <c r="J208" s="46" t="s">
        <v>493</v>
      </c>
      <c r="K208" s="44" t="s">
        <v>427</v>
      </c>
      <c r="L208" s="85">
        <v>15108.6</v>
      </c>
      <c r="M208" s="85">
        <v>15108.6</v>
      </c>
      <c r="N208" s="85">
        <f>L208</f>
        <v>15108.6</v>
      </c>
      <c r="O208" s="85">
        <v>0</v>
      </c>
      <c r="P208" s="85">
        <v>0</v>
      </c>
      <c r="Q208" s="85">
        <v>0</v>
      </c>
      <c r="R208" s="67"/>
    </row>
    <row r="209" spans="1:18" ht="25.5" x14ac:dyDescent="0.2">
      <c r="A209" s="44" t="s">
        <v>359</v>
      </c>
      <c r="B209" s="45"/>
      <c r="C209" s="45" t="s">
        <v>358</v>
      </c>
      <c r="D209" s="45" t="s">
        <v>189</v>
      </c>
      <c r="E209" s="45" t="s">
        <v>362</v>
      </c>
      <c r="F209" s="45" t="s">
        <v>363</v>
      </c>
      <c r="G209" s="45" t="s">
        <v>179</v>
      </c>
      <c r="H209" s="45" t="s">
        <v>181</v>
      </c>
      <c r="I209" s="45" t="s">
        <v>229</v>
      </c>
      <c r="J209" s="46" t="s">
        <v>364</v>
      </c>
      <c r="K209" s="44"/>
      <c r="L209" s="85">
        <f t="shared" ref="L209:Q209" si="84">L210</f>
        <v>8207.7999999999993</v>
      </c>
      <c r="M209" s="85">
        <f t="shared" si="84"/>
        <v>8207.7999999999993</v>
      </c>
      <c r="N209" s="85">
        <f t="shared" si="84"/>
        <v>8207.7999999999993</v>
      </c>
      <c r="O209" s="85">
        <f t="shared" si="84"/>
        <v>0</v>
      </c>
      <c r="P209" s="85">
        <f t="shared" si="84"/>
        <v>0</v>
      </c>
      <c r="Q209" s="85">
        <f t="shared" si="84"/>
        <v>0</v>
      </c>
    </row>
    <row r="210" spans="1:18" ht="38.25" x14ac:dyDescent="0.2">
      <c r="A210" s="44" t="s">
        <v>359</v>
      </c>
      <c r="B210" s="45" t="s">
        <v>230</v>
      </c>
      <c r="C210" s="45" t="s">
        <v>358</v>
      </c>
      <c r="D210" s="45" t="s">
        <v>189</v>
      </c>
      <c r="E210" s="45" t="s">
        <v>362</v>
      </c>
      <c r="F210" s="45" t="s">
        <v>363</v>
      </c>
      <c r="G210" s="45" t="s">
        <v>209</v>
      </c>
      <c r="H210" s="45" t="s">
        <v>181</v>
      </c>
      <c r="I210" s="45" t="s">
        <v>229</v>
      </c>
      <c r="J210" s="46" t="s">
        <v>365</v>
      </c>
      <c r="K210" s="44" t="s">
        <v>426</v>
      </c>
      <c r="L210" s="85">
        <v>8207.7999999999993</v>
      </c>
      <c r="M210" s="85">
        <v>8207.7999999999993</v>
      </c>
      <c r="N210" s="85">
        <f>L210</f>
        <v>8207.7999999999993</v>
      </c>
      <c r="O210" s="85">
        <v>0</v>
      </c>
      <c r="P210" s="85">
        <v>0</v>
      </c>
      <c r="Q210" s="85">
        <v>0</v>
      </c>
    </row>
    <row r="211" spans="1:18" ht="38.25" x14ac:dyDescent="0.2">
      <c r="A211" s="44" t="s">
        <v>359</v>
      </c>
      <c r="B211" s="45"/>
      <c r="C211" s="45" t="s">
        <v>358</v>
      </c>
      <c r="D211" s="45" t="s">
        <v>189</v>
      </c>
      <c r="E211" s="45" t="s">
        <v>366</v>
      </c>
      <c r="F211" s="45" t="s">
        <v>180</v>
      </c>
      <c r="G211" s="45" t="s">
        <v>179</v>
      </c>
      <c r="H211" s="45" t="s">
        <v>181</v>
      </c>
      <c r="I211" s="45" t="s">
        <v>229</v>
      </c>
      <c r="J211" s="46" t="s">
        <v>367</v>
      </c>
      <c r="K211" s="44"/>
      <c r="L211" s="85">
        <f t="shared" ref="L211:Q211" si="85">L212+L214+L216+L218+L220+L222+L224</f>
        <v>273179.19999999995</v>
      </c>
      <c r="M211" s="85">
        <f t="shared" si="85"/>
        <v>75413.270369999998</v>
      </c>
      <c r="N211" s="85">
        <f t="shared" si="85"/>
        <v>271558.8</v>
      </c>
      <c r="O211" s="85">
        <f t="shared" si="85"/>
        <v>844318.09999999986</v>
      </c>
      <c r="P211" s="85">
        <f t="shared" si="85"/>
        <v>77224.600000000006</v>
      </c>
      <c r="Q211" s="85">
        <f t="shared" si="85"/>
        <v>1522.6</v>
      </c>
    </row>
    <row r="212" spans="1:18" ht="41.25" customHeight="1" x14ac:dyDescent="0.2">
      <c r="A212" s="44" t="s">
        <v>359</v>
      </c>
      <c r="B212" s="45"/>
      <c r="C212" s="45" t="s">
        <v>358</v>
      </c>
      <c r="D212" s="45" t="s">
        <v>189</v>
      </c>
      <c r="E212" s="45" t="s">
        <v>366</v>
      </c>
      <c r="F212" s="45" t="s">
        <v>368</v>
      </c>
      <c r="G212" s="45" t="s">
        <v>179</v>
      </c>
      <c r="H212" s="45" t="s">
        <v>181</v>
      </c>
      <c r="I212" s="45" t="s">
        <v>229</v>
      </c>
      <c r="J212" s="46" t="s">
        <v>369</v>
      </c>
      <c r="K212" s="44"/>
      <c r="L212" s="85">
        <f>L213</f>
        <v>101468.2</v>
      </c>
      <c r="M212" s="85">
        <f t="shared" ref="M212:Q212" si="86">M213</f>
        <v>15597.2</v>
      </c>
      <c r="N212" s="85">
        <f t="shared" si="86"/>
        <v>101468.2</v>
      </c>
      <c r="O212" s="85">
        <f t="shared" si="86"/>
        <v>190332.2</v>
      </c>
      <c r="P212" s="85">
        <f t="shared" si="86"/>
        <v>0</v>
      </c>
      <c r="Q212" s="85">
        <f t="shared" si="86"/>
        <v>0</v>
      </c>
    </row>
    <row r="213" spans="1:18" ht="64.5" customHeight="1" x14ac:dyDescent="0.2">
      <c r="A213" s="44" t="s">
        <v>359</v>
      </c>
      <c r="B213" s="45" t="s">
        <v>277</v>
      </c>
      <c r="C213" s="45" t="s">
        <v>358</v>
      </c>
      <c r="D213" s="45" t="s">
        <v>189</v>
      </c>
      <c r="E213" s="45" t="s">
        <v>366</v>
      </c>
      <c r="F213" s="45" t="s">
        <v>368</v>
      </c>
      <c r="G213" s="45" t="s">
        <v>209</v>
      </c>
      <c r="H213" s="45" t="s">
        <v>181</v>
      </c>
      <c r="I213" s="45" t="s">
        <v>229</v>
      </c>
      <c r="J213" s="46" t="s">
        <v>370</v>
      </c>
      <c r="K213" s="44" t="s">
        <v>430</v>
      </c>
      <c r="L213" s="85">
        <v>101468.2</v>
      </c>
      <c r="M213" s="85">
        <v>15597.2</v>
      </c>
      <c r="N213" s="85">
        <f>L213</f>
        <v>101468.2</v>
      </c>
      <c r="O213" s="85">
        <v>190332.2</v>
      </c>
      <c r="P213" s="85">
        <v>0</v>
      </c>
      <c r="Q213" s="85">
        <v>0</v>
      </c>
    </row>
    <row r="214" spans="1:18" ht="76.5" x14ac:dyDescent="0.2">
      <c r="A214" s="44" t="s">
        <v>359</v>
      </c>
      <c r="B214" s="45"/>
      <c r="C214" s="45" t="s">
        <v>358</v>
      </c>
      <c r="D214" s="45" t="s">
        <v>189</v>
      </c>
      <c r="E214" s="45" t="s">
        <v>371</v>
      </c>
      <c r="F214" s="45" t="s">
        <v>372</v>
      </c>
      <c r="G214" s="45" t="s">
        <v>179</v>
      </c>
      <c r="H214" s="45" t="s">
        <v>181</v>
      </c>
      <c r="I214" s="45" t="s">
        <v>229</v>
      </c>
      <c r="J214" s="46" t="s">
        <v>373</v>
      </c>
      <c r="K214" s="44"/>
      <c r="L214" s="85">
        <f t="shared" ref="L214:Q214" si="87">L215</f>
        <v>67302.100000000006</v>
      </c>
      <c r="M214" s="85">
        <f t="shared" si="87"/>
        <v>46337.294190000001</v>
      </c>
      <c r="N214" s="85">
        <f t="shared" si="87"/>
        <v>66343</v>
      </c>
      <c r="O214" s="85">
        <f t="shared" si="87"/>
        <v>65483.8</v>
      </c>
      <c r="P214" s="85">
        <f t="shared" si="87"/>
        <v>68562.600000000006</v>
      </c>
      <c r="Q214" s="85">
        <f t="shared" si="87"/>
        <v>0</v>
      </c>
    </row>
    <row r="215" spans="1:18" ht="79.5" customHeight="1" x14ac:dyDescent="0.2">
      <c r="A215" s="44" t="s">
        <v>359</v>
      </c>
      <c r="B215" s="45" t="s">
        <v>286</v>
      </c>
      <c r="C215" s="45" t="s">
        <v>358</v>
      </c>
      <c r="D215" s="45" t="s">
        <v>189</v>
      </c>
      <c r="E215" s="45" t="s">
        <v>371</v>
      </c>
      <c r="F215" s="45" t="s">
        <v>372</v>
      </c>
      <c r="G215" s="45" t="s">
        <v>209</v>
      </c>
      <c r="H215" s="45" t="s">
        <v>181</v>
      </c>
      <c r="I215" s="45" t="s">
        <v>229</v>
      </c>
      <c r="J215" s="46" t="s">
        <v>374</v>
      </c>
      <c r="K215" s="44" t="s">
        <v>431</v>
      </c>
      <c r="L215" s="85">
        <v>67302.100000000006</v>
      </c>
      <c r="M215" s="85">
        <v>46337.294190000001</v>
      </c>
      <c r="N215" s="85">
        <f>L215-959.1</f>
        <v>66343</v>
      </c>
      <c r="O215" s="85">
        <v>65483.8</v>
      </c>
      <c r="P215" s="85">
        <v>68562.600000000006</v>
      </c>
      <c r="Q215" s="85">
        <v>0</v>
      </c>
    </row>
    <row r="216" spans="1:18" ht="38.25" x14ac:dyDescent="0.2">
      <c r="A216" s="44" t="s">
        <v>359</v>
      </c>
      <c r="B216" s="45"/>
      <c r="C216" s="45" t="s">
        <v>358</v>
      </c>
      <c r="D216" s="45" t="s">
        <v>189</v>
      </c>
      <c r="E216" s="45" t="s">
        <v>371</v>
      </c>
      <c r="F216" s="45" t="s">
        <v>375</v>
      </c>
      <c r="G216" s="45" t="s">
        <v>179</v>
      </c>
      <c r="H216" s="45" t="s">
        <v>181</v>
      </c>
      <c r="I216" s="45" t="s">
        <v>229</v>
      </c>
      <c r="J216" s="46" t="s">
        <v>376</v>
      </c>
      <c r="K216" s="44"/>
      <c r="L216" s="85">
        <f t="shared" ref="L216:Q218" si="88">L217</f>
        <v>3403.1</v>
      </c>
      <c r="M216" s="85">
        <f t="shared" si="88"/>
        <v>3403.0095099999999</v>
      </c>
      <c r="N216" s="85">
        <f t="shared" si="88"/>
        <v>3403.1</v>
      </c>
      <c r="O216" s="85">
        <f t="shared" si="88"/>
        <v>3420.6</v>
      </c>
      <c r="P216" s="85">
        <f t="shared" si="88"/>
        <v>2950.6</v>
      </c>
      <c r="Q216" s="85">
        <f t="shared" si="88"/>
        <v>0</v>
      </c>
    </row>
    <row r="217" spans="1:18" ht="38.25" x14ac:dyDescent="0.2">
      <c r="A217" s="44" t="s">
        <v>359</v>
      </c>
      <c r="B217" s="45" t="s">
        <v>230</v>
      </c>
      <c r="C217" s="45" t="s">
        <v>358</v>
      </c>
      <c r="D217" s="45" t="s">
        <v>189</v>
      </c>
      <c r="E217" s="45" t="s">
        <v>371</v>
      </c>
      <c r="F217" s="45" t="s">
        <v>375</v>
      </c>
      <c r="G217" s="45" t="s">
        <v>209</v>
      </c>
      <c r="H217" s="45" t="s">
        <v>181</v>
      </c>
      <c r="I217" s="45" t="s">
        <v>229</v>
      </c>
      <c r="J217" s="46" t="s">
        <v>377</v>
      </c>
      <c r="K217" s="44" t="s">
        <v>426</v>
      </c>
      <c r="L217" s="85">
        <v>3403.1</v>
      </c>
      <c r="M217" s="85">
        <v>3403.0095099999999</v>
      </c>
      <c r="N217" s="85">
        <f>L217</f>
        <v>3403.1</v>
      </c>
      <c r="O217" s="85">
        <v>3420.6</v>
      </c>
      <c r="P217" s="85">
        <v>2950.6</v>
      </c>
      <c r="Q217" s="85">
        <v>0</v>
      </c>
    </row>
    <row r="218" spans="1:18" ht="25.5" x14ac:dyDescent="0.2">
      <c r="A218" s="44" t="s">
        <v>359</v>
      </c>
      <c r="B218" s="45"/>
      <c r="C218" s="45" t="s">
        <v>358</v>
      </c>
      <c r="D218" s="45" t="s">
        <v>189</v>
      </c>
      <c r="E218" s="45" t="s">
        <v>371</v>
      </c>
      <c r="F218" s="45">
        <v>511</v>
      </c>
      <c r="G218" s="45" t="s">
        <v>179</v>
      </c>
      <c r="H218" s="45" t="s">
        <v>181</v>
      </c>
      <c r="I218" s="45" t="s">
        <v>229</v>
      </c>
      <c r="J218" s="46" t="s">
        <v>560</v>
      </c>
      <c r="K218" s="44"/>
      <c r="L218" s="85">
        <f t="shared" si="88"/>
        <v>0</v>
      </c>
      <c r="M218" s="85">
        <f t="shared" si="88"/>
        <v>0</v>
      </c>
      <c r="N218" s="85">
        <f t="shared" si="88"/>
        <v>0</v>
      </c>
      <c r="O218" s="85">
        <f t="shared" si="88"/>
        <v>5817</v>
      </c>
      <c r="P218" s="85">
        <f t="shared" si="88"/>
        <v>0</v>
      </c>
      <c r="Q218" s="85">
        <f t="shared" si="88"/>
        <v>0</v>
      </c>
    </row>
    <row r="219" spans="1:18" ht="38.25" x14ac:dyDescent="0.2">
      <c r="A219" s="44" t="s">
        <v>359</v>
      </c>
      <c r="B219" s="45" t="s">
        <v>230</v>
      </c>
      <c r="C219" s="45" t="s">
        <v>358</v>
      </c>
      <c r="D219" s="45" t="s">
        <v>189</v>
      </c>
      <c r="E219" s="45" t="s">
        <v>371</v>
      </c>
      <c r="F219" s="45">
        <v>511</v>
      </c>
      <c r="G219" s="45" t="s">
        <v>209</v>
      </c>
      <c r="H219" s="45" t="s">
        <v>181</v>
      </c>
      <c r="I219" s="45" t="s">
        <v>229</v>
      </c>
      <c r="J219" s="46" t="s">
        <v>561</v>
      </c>
      <c r="K219" s="44" t="s">
        <v>426</v>
      </c>
      <c r="L219" s="85">
        <v>0</v>
      </c>
      <c r="M219" s="85">
        <v>0</v>
      </c>
      <c r="N219" s="85">
        <f>L219</f>
        <v>0</v>
      </c>
      <c r="O219" s="85">
        <v>5817</v>
      </c>
      <c r="P219" s="85">
        <v>0</v>
      </c>
      <c r="Q219" s="85">
        <v>0</v>
      </c>
    </row>
    <row r="220" spans="1:18" s="56" customFormat="1" ht="25.5" x14ac:dyDescent="0.2">
      <c r="A220" s="44" t="s">
        <v>359</v>
      </c>
      <c r="B220" s="45"/>
      <c r="C220" s="45" t="s">
        <v>358</v>
      </c>
      <c r="D220" s="45" t="s">
        <v>189</v>
      </c>
      <c r="E220" s="45" t="s">
        <v>371</v>
      </c>
      <c r="F220" s="64" t="s">
        <v>473</v>
      </c>
      <c r="G220" s="45" t="s">
        <v>179</v>
      </c>
      <c r="H220" s="45" t="s">
        <v>181</v>
      </c>
      <c r="I220" s="45" t="s">
        <v>229</v>
      </c>
      <c r="J220" s="46" t="s">
        <v>437</v>
      </c>
      <c r="K220" s="44"/>
      <c r="L220" s="85">
        <f>L221</f>
        <v>638.5</v>
      </c>
      <c r="M220" s="85">
        <f t="shared" ref="M220:Q222" si="89">M221</f>
        <v>638.5</v>
      </c>
      <c r="N220" s="85">
        <f t="shared" si="89"/>
        <v>638.5</v>
      </c>
      <c r="O220" s="85">
        <f t="shared" si="89"/>
        <v>638.5</v>
      </c>
      <c r="P220" s="85">
        <f t="shared" si="89"/>
        <v>577.9</v>
      </c>
      <c r="Q220" s="85">
        <f t="shared" si="89"/>
        <v>0</v>
      </c>
      <c r="R220" s="67"/>
    </row>
    <row r="221" spans="1:18" s="56" customFormat="1" ht="40.5" customHeight="1" x14ac:dyDescent="0.2">
      <c r="A221" s="44" t="s">
        <v>359</v>
      </c>
      <c r="B221" s="45" t="s">
        <v>288</v>
      </c>
      <c r="C221" s="45" t="s">
        <v>358</v>
      </c>
      <c r="D221" s="45" t="s">
        <v>189</v>
      </c>
      <c r="E221" s="45" t="s">
        <v>371</v>
      </c>
      <c r="F221" s="64" t="s">
        <v>473</v>
      </c>
      <c r="G221" s="45" t="s">
        <v>209</v>
      </c>
      <c r="H221" s="45" t="s">
        <v>181</v>
      </c>
      <c r="I221" s="45" t="s">
        <v>229</v>
      </c>
      <c r="J221" s="46" t="s">
        <v>438</v>
      </c>
      <c r="K221" s="44" t="s">
        <v>432</v>
      </c>
      <c r="L221" s="85">
        <v>638.5</v>
      </c>
      <c r="M221" s="85">
        <v>638.5</v>
      </c>
      <c r="N221" s="85">
        <f>L221</f>
        <v>638.5</v>
      </c>
      <c r="O221" s="85">
        <v>638.5</v>
      </c>
      <c r="P221" s="85">
        <v>577.9</v>
      </c>
      <c r="Q221" s="85">
        <v>0</v>
      </c>
      <c r="R221" s="67"/>
    </row>
    <row r="222" spans="1:18" s="56" customFormat="1" ht="89.25" x14ac:dyDescent="0.2">
      <c r="A222" s="44" t="s">
        <v>359</v>
      </c>
      <c r="B222" s="45"/>
      <c r="C222" s="45" t="s">
        <v>358</v>
      </c>
      <c r="D222" s="45" t="s">
        <v>189</v>
      </c>
      <c r="E222" s="45" t="s">
        <v>371</v>
      </c>
      <c r="F222" s="64" t="s">
        <v>494</v>
      </c>
      <c r="G222" s="45" t="s">
        <v>179</v>
      </c>
      <c r="H222" s="45" t="s">
        <v>181</v>
      </c>
      <c r="I222" s="45" t="s">
        <v>229</v>
      </c>
      <c r="J222" s="46" t="s">
        <v>495</v>
      </c>
      <c r="K222" s="44"/>
      <c r="L222" s="85">
        <f>L223</f>
        <v>1031.3</v>
      </c>
      <c r="M222" s="85">
        <f t="shared" si="89"/>
        <v>827.7</v>
      </c>
      <c r="N222" s="85">
        <f t="shared" si="89"/>
        <v>1031.3</v>
      </c>
      <c r="O222" s="85">
        <f t="shared" si="89"/>
        <v>2083.1999999999998</v>
      </c>
      <c r="P222" s="85">
        <f t="shared" si="89"/>
        <v>0</v>
      </c>
      <c r="Q222" s="85">
        <f t="shared" si="89"/>
        <v>0</v>
      </c>
      <c r="R222" s="67"/>
    </row>
    <row r="223" spans="1:18" s="56" customFormat="1" ht="89.25" customHeight="1" x14ac:dyDescent="0.2">
      <c r="A223" s="44" t="s">
        <v>359</v>
      </c>
      <c r="B223" s="45" t="s">
        <v>286</v>
      </c>
      <c r="C223" s="45" t="s">
        <v>358</v>
      </c>
      <c r="D223" s="45" t="s">
        <v>189</v>
      </c>
      <c r="E223" s="45" t="s">
        <v>371</v>
      </c>
      <c r="F223" s="64" t="s">
        <v>494</v>
      </c>
      <c r="G223" s="45" t="s">
        <v>209</v>
      </c>
      <c r="H223" s="45" t="s">
        <v>181</v>
      </c>
      <c r="I223" s="45" t="s">
        <v>229</v>
      </c>
      <c r="J223" s="46" t="s">
        <v>496</v>
      </c>
      <c r="K223" s="44" t="s">
        <v>431</v>
      </c>
      <c r="L223" s="85">
        <v>1031.3</v>
      </c>
      <c r="M223" s="85">
        <v>827.7</v>
      </c>
      <c r="N223" s="85">
        <f>L223</f>
        <v>1031.3</v>
      </c>
      <c r="O223" s="85">
        <v>2083.1999999999998</v>
      </c>
      <c r="P223" s="85">
        <v>0</v>
      </c>
      <c r="Q223" s="85">
        <v>0</v>
      </c>
      <c r="R223" s="67"/>
    </row>
    <row r="224" spans="1:18" ht="25.5" x14ac:dyDescent="0.2">
      <c r="A224" s="44" t="s">
        <v>359</v>
      </c>
      <c r="B224" s="45"/>
      <c r="C224" s="45" t="s">
        <v>358</v>
      </c>
      <c r="D224" s="45" t="s">
        <v>189</v>
      </c>
      <c r="E224" s="45" t="s">
        <v>378</v>
      </c>
      <c r="F224" s="45" t="s">
        <v>363</v>
      </c>
      <c r="G224" s="45" t="s">
        <v>179</v>
      </c>
      <c r="H224" s="45" t="s">
        <v>181</v>
      </c>
      <c r="I224" s="45" t="s">
        <v>229</v>
      </c>
      <c r="J224" s="46" t="s">
        <v>379</v>
      </c>
      <c r="K224" s="44"/>
      <c r="L224" s="85">
        <f t="shared" ref="L224:Q224" si="90">L225+L226+L227+L228</f>
        <v>99336</v>
      </c>
      <c r="M224" s="85">
        <f t="shared" si="90"/>
        <v>8609.5666700000002</v>
      </c>
      <c r="N224" s="85">
        <f t="shared" si="90"/>
        <v>98674.7</v>
      </c>
      <c r="O224" s="85">
        <f t="shared" si="90"/>
        <v>576542.79999999993</v>
      </c>
      <c r="P224" s="85">
        <f t="shared" si="90"/>
        <v>5133.5</v>
      </c>
      <c r="Q224" s="85">
        <f t="shared" si="90"/>
        <v>1522.6</v>
      </c>
    </row>
    <row r="225" spans="1:17" ht="38.25" x14ac:dyDescent="0.2">
      <c r="A225" s="44" t="s">
        <v>359</v>
      </c>
      <c r="B225" s="45" t="s">
        <v>230</v>
      </c>
      <c r="C225" s="45" t="s">
        <v>358</v>
      </c>
      <c r="D225" s="45" t="s">
        <v>189</v>
      </c>
      <c r="E225" s="45" t="s">
        <v>378</v>
      </c>
      <c r="F225" s="45" t="s">
        <v>363</v>
      </c>
      <c r="G225" s="45" t="s">
        <v>209</v>
      </c>
      <c r="H225" s="45" t="s">
        <v>181</v>
      </c>
      <c r="I225" s="45" t="s">
        <v>229</v>
      </c>
      <c r="J225" s="46" t="s">
        <v>380</v>
      </c>
      <c r="K225" s="44" t="s">
        <v>426</v>
      </c>
      <c r="L225" s="85">
        <f>4975.5+1358+50000+31973.7</f>
        <v>88307.199999999997</v>
      </c>
      <c r="M225" s="85">
        <v>0</v>
      </c>
      <c r="N225" s="85">
        <f>L225</f>
        <v>88307.199999999997</v>
      </c>
      <c r="O225" s="85">
        <f>5133.6+4464+474329+87400</f>
        <v>571326.6</v>
      </c>
      <c r="P225" s="85">
        <v>0</v>
      </c>
      <c r="Q225" s="85">
        <v>0</v>
      </c>
    </row>
    <row r="226" spans="1:17" ht="51" x14ac:dyDescent="0.2">
      <c r="A226" s="44" t="s">
        <v>359</v>
      </c>
      <c r="B226" s="45" t="s">
        <v>286</v>
      </c>
      <c r="C226" s="45" t="s">
        <v>358</v>
      </c>
      <c r="D226" s="45" t="s">
        <v>189</v>
      </c>
      <c r="E226" s="45" t="s">
        <v>378</v>
      </c>
      <c r="F226" s="45" t="s">
        <v>363</v>
      </c>
      <c r="G226" s="45" t="s">
        <v>209</v>
      </c>
      <c r="H226" s="45" t="s">
        <v>181</v>
      </c>
      <c r="I226" s="45" t="s">
        <v>229</v>
      </c>
      <c r="J226" s="46" t="s">
        <v>380</v>
      </c>
      <c r="K226" s="44" t="s">
        <v>431</v>
      </c>
      <c r="L226" s="85">
        <f>3798.1+916.5</f>
        <v>4714.6000000000004</v>
      </c>
      <c r="M226" s="85">
        <v>3584.1</v>
      </c>
      <c r="N226" s="85">
        <f>L226</f>
        <v>4714.6000000000004</v>
      </c>
      <c r="O226" s="85">
        <v>3693.6</v>
      </c>
      <c r="P226" s="85">
        <v>3580.9</v>
      </c>
      <c r="Q226" s="85">
        <v>0</v>
      </c>
    </row>
    <row r="227" spans="1:17" ht="39" customHeight="1" x14ac:dyDescent="0.2">
      <c r="A227" s="44" t="s">
        <v>359</v>
      </c>
      <c r="B227" s="45" t="s">
        <v>288</v>
      </c>
      <c r="C227" s="45" t="s">
        <v>358</v>
      </c>
      <c r="D227" s="45" t="s">
        <v>189</v>
      </c>
      <c r="E227" s="45" t="s">
        <v>378</v>
      </c>
      <c r="F227" s="45" t="s">
        <v>363</v>
      </c>
      <c r="G227" s="45" t="s">
        <v>209</v>
      </c>
      <c r="H227" s="45" t="s">
        <v>181</v>
      </c>
      <c r="I227" s="45" t="s">
        <v>229</v>
      </c>
      <c r="J227" s="46" t="s">
        <v>380</v>
      </c>
      <c r="K227" s="44" t="s">
        <v>432</v>
      </c>
      <c r="L227" s="85">
        <v>30</v>
      </c>
      <c r="M227" s="85">
        <v>30</v>
      </c>
      <c r="N227" s="85">
        <f>L227</f>
        <v>30</v>
      </c>
      <c r="O227" s="85">
        <v>0</v>
      </c>
      <c r="P227" s="85">
        <v>30</v>
      </c>
      <c r="Q227" s="85">
        <v>0</v>
      </c>
    </row>
    <row r="228" spans="1:17" ht="51" x14ac:dyDescent="0.2">
      <c r="A228" s="44" t="s">
        <v>359</v>
      </c>
      <c r="B228" s="45" t="s">
        <v>285</v>
      </c>
      <c r="C228" s="45" t="s">
        <v>358</v>
      </c>
      <c r="D228" s="45" t="s">
        <v>189</v>
      </c>
      <c r="E228" s="45" t="s">
        <v>378</v>
      </c>
      <c r="F228" s="45" t="s">
        <v>363</v>
      </c>
      <c r="G228" s="45" t="s">
        <v>209</v>
      </c>
      <c r="H228" s="45" t="s">
        <v>181</v>
      </c>
      <c r="I228" s="45" t="s">
        <v>229</v>
      </c>
      <c r="J228" s="46" t="s">
        <v>380</v>
      </c>
      <c r="K228" s="44" t="s">
        <v>433</v>
      </c>
      <c r="L228" s="85">
        <f>1522.6+4761.6</f>
        <v>6284.2000000000007</v>
      </c>
      <c r="M228" s="85">
        <v>4995.4666699999998</v>
      </c>
      <c r="N228" s="85">
        <f>L228-661.3</f>
        <v>5622.9000000000005</v>
      </c>
      <c r="O228" s="85">
        <v>1522.6</v>
      </c>
      <c r="P228" s="85">
        <v>1522.6</v>
      </c>
      <c r="Q228" s="85">
        <v>1522.6</v>
      </c>
    </row>
    <row r="229" spans="1:17" ht="25.5" x14ac:dyDescent="0.2">
      <c r="A229" s="44" t="s">
        <v>359</v>
      </c>
      <c r="B229" s="45"/>
      <c r="C229" s="45" t="s">
        <v>358</v>
      </c>
      <c r="D229" s="45" t="s">
        <v>189</v>
      </c>
      <c r="E229" s="45" t="s">
        <v>381</v>
      </c>
      <c r="F229" s="45" t="s">
        <v>180</v>
      </c>
      <c r="G229" s="45" t="s">
        <v>179</v>
      </c>
      <c r="H229" s="45" t="s">
        <v>181</v>
      </c>
      <c r="I229" s="45" t="s">
        <v>229</v>
      </c>
      <c r="J229" s="46" t="s">
        <v>382</v>
      </c>
      <c r="K229" s="44"/>
      <c r="L229" s="85">
        <f t="shared" ref="L229:Q229" si="91">L230+L236+L238+L240+L242+L244</f>
        <v>1487687</v>
      </c>
      <c r="M229" s="85">
        <f t="shared" si="91"/>
        <v>1140700.7680599999</v>
      </c>
      <c r="N229" s="85">
        <f t="shared" si="91"/>
        <v>1487687</v>
      </c>
      <c r="O229" s="85">
        <f t="shared" si="91"/>
        <v>1614132.5000000002</v>
      </c>
      <c r="P229" s="85">
        <f t="shared" si="91"/>
        <v>1656099.9999999998</v>
      </c>
      <c r="Q229" s="85">
        <f t="shared" si="91"/>
        <v>1609250.2000000002</v>
      </c>
    </row>
    <row r="230" spans="1:17" ht="38.25" x14ac:dyDescent="0.2">
      <c r="A230" s="44" t="s">
        <v>359</v>
      </c>
      <c r="B230" s="45"/>
      <c r="C230" s="45" t="s">
        <v>358</v>
      </c>
      <c r="D230" s="45" t="s">
        <v>189</v>
      </c>
      <c r="E230" s="45" t="s">
        <v>381</v>
      </c>
      <c r="F230" s="45" t="s">
        <v>383</v>
      </c>
      <c r="G230" s="45" t="s">
        <v>179</v>
      </c>
      <c r="H230" s="45" t="s">
        <v>181</v>
      </c>
      <c r="I230" s="45" t="s">
        <v>229</v>
      </c>
      <c r="J230" s="46" t="s">
        <v>384</v>
      </c>
      <c r="K230" s="44"/>
      <c r="L230" s="85">
        <f t="shared" ref="L230:Q230" si="92">SUM(L231:L235)</f>
        <v>1307151.3999999999</v>
      </c>
      <c r="M230" s="85">
        <f t="shared" si="92"/>
        <v>1004068.5145700001</v>
      </c>
      <c r="N230" s="85">
        <f t="shared" si="92"/>
        <v>1307151.3999999999</v>
      </c>
      <c r="O230" s="85">
        <f t="shared" si="92"/>
        <v>1431448.6</v>
      </c>
      <c r="P230" s="85">
        <f t="shared" si="92"/>
        <v>1469307.2999999998</v>
      </c>
      <c r="Q230" s="85">
        <f t="shared" si="92"/>
        <v>1467617.8000000003</v>
      </c>
    </row>
    <row r="231" spans="1:17" ht="51" x14ac:dyDescent="0.2">
      <c r="A231" s="44" t="s">
        <v>359</v>
      </c>
      <c r="B231" s="45" t="s">
        <v>230</v>
      </c>
      <c r="C231" s="45" t="s">
        <v>358</v>
      </c>
      <c r="D231" s="45" t="s">
        <v>189</v>
      </c>
      <c r="E231" s="45" t="s">
        <v>381</v>
      </c>
      <c r="F231" s="45" t="s">
        <v>383</v>
      </c>
      <c r="G231" s="45" t="s">
        <v>209</v>
      </c>
      <c r="H231" s="45" t="s">
        <v>181</v>
      </c>
      <c r="I231" s="45" t="s">
        <v>229</v>
      </c>
      <c r="J231" s="46" t="s">
        <v>385</v>
      </c>
      <c r="K231" s="44" t="s">
        <v>426</v>
      </c>
      <c r="L231" s="85">
        <f>63+729.8+4618.3+1460+6782.3+108746.9</f>
        <v>122400.29999999999</v>
      </c>
      <c r="M231" s="85">
        <v>97248.861730000004</v>
      </c>
      <c r="N231" s="85">
        <f>L231</f>
        <v>122400.29999999999</v>
      </c>
      <c r="O231" s="85">
        <f>63+755.8+4618.3+18417+102608.9</f>
        <v>126463</v>
      </c>
      <c r="P231" s="85">
        <f>63+775.8+4618.3+18457+59077.8</f>
        <v>82991.899999999994</v>
      </c>
      <c r="Q231" s="85">
        <f>63+775.8+4618.3+18457+49749.8</f>
        <v>73663.899999999994</v>
      </c>
    </row>
    <row r="232" spans="1:17" ht="51" x14ac:dyDescent="0.2">
      <c r="A232" s="44" t="s">
        <v>359</v>
      </c>
      <c r="B232" s="49" t="s">
        <v>460</v>
      </c>
      <c r="C232" s="45" t="s">
        <v>358</v>
      </c>
      <c r="D232" s="45" t="s">
        <v>189</v>
      </c>
      <c r="E232" s="45" t="s">
        <v>381</v>
      </c>
      <c r="F232" s="45" t="s">
        <v>383</v>
      </c>
      <c r="G232" s="45" t="s">
        <v>209</v>
      </c>
      <c r="H232" s="45" t="s">
        <v>181</v>
      </c>
      <c r="I232" s="45" t="s">
        <v>229</v>
      </c>
      <c r="J232" s="46" t="s">
        <v>385</v>
      </c>
      <c r="K232" s="44" t="s">
        <v>459</v>
      </c>
      <c r="L232" s="85">
        <v>729.9</v>
      </c>
      <c r="M232" s="85">
        <v>507.77974</v>
      </c>
      <c r="N232" s="85">
        <f>L232</f>
        <v>729.9</v>
      </c>
      <c r="O232" s="85">
        <v>755.8</v>
      </c>
      <c r="P232" s="85">
        <v>775.9</v>
      </c>
      <c r="Q232" s="85">
        <v>775.9</v>
      </c>
    </row>
    <row r="233" spans="1:17" ht="51" x14ac:dyDescent="0.2">
      <c r="A233" s="44" t="s">
        <v>359</v>
      </c>
      <c r="B233" s="45" t="s">
        <v>286</v>
      </c>
      <c r="C233" s="45" t="s">
        <v>358</v>
      </c>
      <c r="D233" s="45" t="s">
        <v>189</v>
      </c>
      <c r="E233" s="45" t="s">
        <v>381</v>
      </c>
      <c r="F233" s="45" t="s">
        <v>383</v>
      </c>
      <c r="G233" s="45" t="s">
        <v>209</v>
      </c>
      <c r="H233" s="45" t="s">
        <v>181</v>
      </c>
      <c r="I233" s="45" t="s">
        <v>229</v>
      </c>
      <c r="J233" s="46" t="s">
        <v>385</v>
      </c>
      <c r="K233" s="44" t="s">
        <v>431</v>
      </c>
      <c r="L233" s="85">
        <f>694219.4+4537.2+2366.6+1057.3+5249.3+10124.4+463093.6+2370.4</f>
        <v>1183018.2</v>
      </c>
      <c r="M233" s="85">
        <v>905612.78110000002</v>
      </c>
      <c r="N233" s="85">
        <f>L233</f>
        <v>1183018.2</v>
      </c>
      <c r="O233" s="85">
        <f>749331.4+531459.9+4329.1+2516.5+1137.9+11656.5+2587</f>
        <v>1303018.3</v>
      </c>
      <c r="P233" s="85">
        <f>790834.5+570894+4394.9+2784+1181.7+11525.5+2691.2</f>
        <v>1384305.7999999998</v>
      </c>
      <c r="Q233" s="85">
        <f>789921.6+578491.6+4503.5+2895.3+1225.5+12085.1+2798.6</f>
        <v>1391921.2000000002</v>
      </c>
    </row>
    <row r="234" spans="1:17" ht="51" x14ac:dyDescent="0.2">
      <c r="A234" s="44" t="s">
        <v>359</v>
      </c>
      <c r="B234" s="45" t="s">
        <v>288</v>
      </c>
      <c r="C234" s="45" t="s">
        <v>358</v>
      </c>
      <c r="D234" s="45" t="s">
        <v>189</v>
      </c>
      <c r="E234" s="45" t="s">
        <v>381</v>
      </c>
      <c r="F234" s="45" t="s">
        <v>383</v>
      </c>
      <c r="G234" s="45" t="s">
        <v>209</v>
      </c>
      <c r="H234" s="45" t="s">
        <v>181</v>
      </c>
      <c r="I234" s="45" t="s">
        <v>229</v>
      </c>
      <c r="J234" s="46" t="s">
        <v>385</v>
      </c>
      <c r="K234" s="44" t="s">
        <v>432</v>
      </c>
      <c r="L234" s="85">
        <v>534.20000000000005</v>
      </c>
      <c r="M234" s="85">
        <v>378.8</v>
      </c>
      <c r="N234" s="85">
        <f>L234</f>
        <v>534.20000000000005</v>
      </c>
      <c r="O234" s="85">
        <v>555.20000000000005</v>
      </c>
      <c r="P234" s="85">
        <v>577.4</v>
      </c>
      <c r="Q234" s="85">
        <v>600.5</v>
      </c>
    </row>
    <row r="235" spans="1:17" ht="51" x14ac:dyDescent="0.2">
      <c r="A235" s="44" t="s">
        <v>359</v>
      </c>
      <c r="B235" s="45">
        <v>929</v>
      </c>
      <c r="C235" s="45" t="s">
        <v>358</v>
      </c>
      <c r="D235" s="45" t="s">
        <v>189</v>
      </c>
      <c r="E235" s="45" t="s">
        <v>381</v>
      </c>
      <c r="F235" s="45" t="s">
        <v>383</v>
      </c>
      <c r="G235" s="45" t="s">
        <v>209</v>
      </c>
      <c r="H235" s="45" t="s">
        <v>181</v>
      </c>
      <c r="I235" s="45" t="s">
        <v>229</v>
      </c>
      <c r="J235" s="46" t="s">
        <v>385</v>
      </c>
      <c r="K235" s="44" t="s">
        <v>433</v>
      </c>
      <c r="L235" s="85">
        <v>468.8</v>
      </c>
      <c r="M235" s="85">
        <v>320.29199999999997</v>
      </c>
      <c r="N235" s="85">
        <f>L235</f>
        <v>468.8</v>
      </c>
      <c r="O235" s="85">
        <v>656.3</v>
      </c>
      <c r="P235" s="85">
        <v>656.3</v>
      </c>
      <c r="Q235" s="85">
        <v>656.3</v>
      </c>
    </row>
    <row r="236" spans="1:17" ht="89.25" x14ac:dyDescent="0.2">
      <c r="A236" s="44" t="s">
        <v>359</v>
      </c>
      <c r="B236" s="45"/>
      <c r="C236" s="45" t="s">
        <v>358</v>
      </c>
      <c r="D236" s="45" t="s">
        <v>189</v>
      </c>
      <c r="E236" s="45" t="s">
        <v>381</v>
      </c>
      <c r="F236" s="45" t="s">
        <v>386</v>
      </c>
      <c r="G236" s="45" t="s">
        <v>179</v>
      </c>
      <c r="H236" s="45" t="s">
        <v>181</v>
      </c>
      <c r="I236" s="45" t="s">
        <v>229</v>
      </c>
      <c r="J236" s="46" t="s">
        <v>387</v>
      </c>
      <c r="K236" s="44"/>
      <c r="L236" s="85">
        <f>L237</f>
        <v>12673.2</v>
      </c>
      <c r="M236" s="85">
        <f t="shared" ref="M236:Q236" si="93">M237</f>
        <v>7049.9988000000003</v>
      </c>
      <c r="N236" s="85">
        <f t="shared" si="93"/>
        <v>12673.2</v>
      </c>
      <c r="O236" s="85">
        <f t="shared" si="93"/>
        <v>16168.7</v>
      </c>
      <c r="P236" s="85">
        <f t="shared" si="93"/>
        <v>16168.7</v>
      </c>
      <c r="Q236" s="85">
        <f t="shared" si="93"/>
        <v>16168.7</v>
      </c>
    </row>
    <row r="237" spans="1:17" ht="102" x14ac:dyDescent="0.2">
      <c r="A237" s="44" t="s">
        <v>359</v>
      </c>
      <c r="B237" s="45" t="s">
        <v>286</v>
      </c>
      <c r="C237" s="45" t="s">
        <v>358</v>
      </c>
      <c r="D237" s="45" t="s">
        <v>189</v>
      </c>
      <c r="E237" s="45" t="s">
        <v>381</v>
      </c>
      <c r="F237" s="45" t="s">
        <v>386</v>
      </c>
      <c r="G237" s="45" t="s">
        <v>209</v>
      </c>
      <c r="H237" s="45" t="s">
        <v>181</v>
      </c>
      <c r="I237" s="45" t="s">
        <v>229</v>
      </c>
      <c r="J237" s="46" t="s">
        <v>388</v>
      </c>
      <c r="K237" s="44" t="s">
        <v>431</v>
      </c>
      <c r="L237" s="85">
        <v>12673.2</v>
      </c>
      <c r="M237" s="85">
        <v>7049.9988000000003</v>
      </c>
      <c r="N237" s="85">
        <f>L237</f>
        <v>12673.2</v>
      </c>
      <c r="O237" s="85">
        <v>16168.7</v>
      </c>
      <c r="P237" s="85">
        <v>16168.7</v>
      </c>
      <c r="Q237" s="85">
        <v>16168.7</v>
      </c>
    </row>
    <row r="238" spans="1:17" ht="64.5" customHeight="1" x14ac:dyDescent="0.2">
      <c r="A238" s="44" t="s">
        <v>359</v>
      </c>
      <c r="B238" s="45"/>
      <c r="C238" s="45" t="s">
        <v>358</v>
      </c>
      <c r="D238" s="45" t="s">
        <v>189</v>
      </c>
      <c r="E238" s="45" t="s">
        <v>389</v>
      </c>
      <c r="F238" s="45" t="s">
        <v>235</v>
      </c>
      <c r="G238" s="45" t="s">
        <v>179</v>
      </c>
      <c r="H238" s="45" t="s">
        <v>181</v>
      </c>
      <c r="I238" s="45" t="s">
        <v>229</v>
      </c>
      <c r="J238" s="46" t="s">
        <v>390</v>
      </c>
      <c r="K238" s="44"/>
      <c r="L238" s="85">
        <f t="shared" ref="L238:Q244" si="94">L239</f>
        <v>19.8</v>
      </c>
      <c r="M238" s="85">
        <f t="shared" si="94"/>
        <v>13.368600000000001</v>
      </c>
      <c r="N238" s="85">
        <f t="shared" si="94"/>
        <v>19.8</v>
      </c>
      <c r="O238" s="85">
        <f t="shared" si="94"/>
        <v>20.3</v>
      </c>
      <c r="P238" s="85">
        <f t="shared" si="94"/>
        <v>17.7</v>
      </c>
      <c r="Q238" s="85">
        <f t="shared" si="94"/>
        <v>16.2</v>
      </c>
    </row>
    <row r="239" spans="1:17" ht="76.5" x14ac:dyDescent="0.2">
      <c r="A239" s="44" t="s">
        <v>359</v>
      </c>
      <c r="B239" s="45" t="s">
        <v>230</v>
      </c>
      <c r="C239" s="45" t="s">
        <v>358</v>
      </c>
      <c r="D239" s="45" t="s">
        <v>189</v>
      </c>
      <c r="E239" s="45" t="s">
        <v>389</v>
      </c>
      <c r="F239" s="45" t="s">
        <v>235</v>
      </c>
      <c r="G239" s="45" t="s">
        <v>209</v>
      </c>
      <c r="H239" s="45" t="s">
        <v>181</v>
      </c>
      <c r="I239" s="45" t="s">
        <v>229</v>
      </c>
      <c r="J239" s="46" t="s">
        <v>391</v>
      </c>
      <c r="K239" s="44" t="s">
        <v>426</v>
      </c>
      <c r="L239" s="85">
        <v>19.8</v>
      </c>
      <c r="M239" s="85">
        <v>13.368600000000001</v>
      </c>
      <c r="N239" s="85">
        <f>L239</f>
        <v>19.8</v>
      </c>
      <c r="O239" s="85">
        <v>20.3</v>
      </c>
      <c r="P239" s="85">
        <v>17.7</v>
      </c>
      <c r="Q239" s="85">
        <v>16.2</v>
      </c>
    </row>
    <row r="240" spans="1:17" ht="77.25" customHeight="1" x14ac:dyDescent="0.2">
      <c r="A240" s="44" t="s">
        <v>359</v>
      </c>
      <c r="B240" s="45"/>
      <c r="C240" s="45" t="s">
        <v>358</v>
      </c>
      <c r="D240" s="45" t="s">
        <v>189</v>
      </c>
      <c r="E240" s="45" t="s">
        <v>389</v>
      </c>
      <c r="F240" s="49" t="s">
        <v>497</v>
      </c>
      <c r="G240" s="45" t="s">
        <v>179</v>
      </c>
      <c r="H240" s="45" t="s">
        <v>181</v>
      </c>
      <c r="I240" s="45" t="s">
        <v>229</v>
      </c>
      <c r="J240" s="46" t="s">
        <v>498</v>
      </c>
      <c r="K240" s="44"/>
      <c r="L240" s="85">
        <f>L241</f>
        <v>7051.6</v>
      </c>
      <c r="M240" s="85">
        <f t="shared" si="94"/>
        <v>5207.5</v>
      </c>
      <c r="N240" s="85">
        <f t="shared" si="94"/>
        <v>7051.6</v>
      </c>
      <c r="O240" s="85">
        <f t="shared" si="94"/>
        <v>0</v>
      </c>
      <c r="P240" s="85">
        <f t="shared" si="94"/>
        <v>0</v>
      </c>
      <c r="Q240" s="85">
        <f t="shared" si="94"/>
        <v>0</v>
      </c>
    </row>
    <row r="241" spans="1:18" ht="89.25" x14ac:dyDescent="0.2">
      <c r="A241" s="44" t="s">
        <v>359</v>
      </c>
      <c r="B241" s="45">
        <v>925</v>
      </c>
      <c r="C241" s="45" t="s">
        <v>358</v>
      </c>
      <c r="D241" s="45" t="s">
        <v>189</v>
      </c>
      <c r="E241" s="45" t="s">
        <v>389</v>
      </c>
      <c r="F241" s="49" t="s">
        <v>497</v>
      </c>
      <c r="G241" s="45" t="s">
        <v>209</v>
      </c>
      <c r="H241" s="45" t="s">
        <v>181</v>
      </c>
      <c r="I241" s="45" t="s">
        <v>229</v>
      </c>
      <c r="J241" s="46" t="s">
        <v>499</v>
      </c>
      <c r="K241" s="44" t="s">
        <v>431</v>
      </c>
      <c r="L241" s="85">
        <v>7051.6</v>
      </c>
      <c r="M241" s="85">
        <v>5207.5</v>
      </c>
      <c r="N241" s="85">
        <f>L241</f>
        <v>7051.6</v>
      </c>
      <c r="O241" s="85">
        <v>0</v>
      </c>
      <c r="P241" s="85">
        <v>0</v>
      </c>
      <c r="Q241" s="85">
        <v>0</v>
      </c>
    </row>
    <row r="242" spans="1:18" ht="153" customHeight="1" x14ac:dyDescent="0.2">
      <c r="A242" s="44" t="s">
        <v>359</v>
      </c>
      <c r="B242" s="45"/>
      <c r="C242" s="45" t="s">
        <v>358</v>
      </c>
      <c r="D242" s="45" t="s">
        <v>189</v>
      </c>
      <c r="E242" s="45" t="s">
        <v>389</v>
      </c>
      <c r="F242" s="49" t="s">
        <v>398</v>
      </c>
      <c r="G242" s="45" t="s">
        <v>179</v>
      </c>
      <c r="H242" s="45" t="s">
        <v>181</v>
      </c>
      <c r="I242" s="45" t="s">
        <v>229</v>
      </c>
      <c r="J242" s="46" t="s">
        <v>501</v>
      </c>
      <c r="K242" s="44"/>
      <c r="L242" s="85">
        <f>L243</f>
        <v>49007.3</v>
      </c>
      <c r="M242" s="85">
        <f t="shared" si="94"/>
        <v>38400</v>
      </c>
      <c r="N242" s="85">
        <f t="shared" si="94"/>
        <v>49007.3</v>
      </c>
      <c r="O242" s="85">
        <f t="shared" si="94"/>
        <v>47705.3</v>
      </c>
      <c r="P242" s="85">
        <f t="shared" si="94"/>
        <v>47705.3</v>
      </c>
      <c r="Q242" s="85">
        <f t="shared" si="94"/>
        <v>0</v>
      </c>
    </row>
    <row r="243" spans="1:18" ht="153" customHeight="1" x14ac:dyDescent="0.2">
      <c r="A243" s="44" t="s">
        <v>359</v>
      </c>
      <c r="B243" s="45">
        <v>925</v>
      </c>
      <c r="C243" s="45" t="s">
        <v>358</v>
      </c>
      <c r="D243" s="45" t="s">
        <v>189</v>
      </c>
      <c r="E243" s="45" t="s">
        <v>389</v>
      </c>
      <c r="F243" s="49" t="s">
        <v>398</v>
      </c>
      <c r="G243" s="45" t="s">
        <v>209</v>
      </c>
      <c r="H243" s="45" t="s">
        <v>181</v>
      </c>
      <c r="I243" s="45" t="s">
        <v>229</v>
      </c>
      <c r="J243" s="46" t="s">
        <v>500</v>
      </c>
      <c r="K243" s="44" t="s">
        <v>431</v>
      </c>
      <c r="L243" s="85">
        <v>49007.3</v>
      </c>
      <c r="M243" s="85">
        <v>38400</v>
      </c>
      <c r="N243" s="85">
        <f>L243</f>
        <v>49007.3</v>
      </c>
      <c r="O243" s="85">
        <v>47705.3</v>
      </c>
      <c r="P243" s="85">
        <v>47705.3</v>
      </c>
      <c r="Q243" s="85">
        <v>0</v>
      </c>
    </row>
    <row r="244" spans="1:18" s="56" customFormat="1" ht="25.5" x14ac:dyDescent="0.2">
      <c r="A244" s="44" t="s">
        <v>359</v>
      </c>
      <c r="B244" s="45"/>
      <c r="C244" s="45" t="s">
        <v>358</v>
      </c>
      <c r="D244" s="45" t="s">
        <v>189</v>
      </c>
      <c r="E244" s="49" t="s">
        <v>464</v>
      </c>
      <c r="F244" s="49" t="s">
        <v>466</v>
      </c>
      <c r="G244" s="45" t="s">
        <v>179</v>
      </c>
      <c r="H244" s="45" t="s">
        <v>181</v>
      </c>
      <c r="I244" s="45" t="s">
        <v>229</v>
      </c>
      <c r="J244" s="46" t="s">
        <v>467</v>
      </c>
      <c r="K244" s="44"/>
      <c r="L244" s="85">
        <f>L245</f>
        <v>111783.7</v>
      </c>
      <c r="M244" s="85">
        <f t="shared" si="94"/>
        <v>85961.38609</v>
      </c>
      <c r="N244" s="85">
        <f t="shared" si="94"/>
        <v>111783.7</v>
      </c>
      <c r="O244" s="85">
        <f t="shared" si="94"/>
        <v>118789.6</v>
      </c>
      <c r="P244" s="85">
        <f t="shared" si="94"/>
        <v>122901</v>
      </c>
      <c r="Q244" s="85">
        <f t="shared" si="94"/>
        <v>125447.5</v>
      </c>
      <c r="R244" s="67"/>
    </row>
    <row r="245" spans="1:18" s="56" customFormat="1" ht="51" x14ac:dyDescent="0.2">
      <c r="A245" s="44" t="s">
        <v>359</v>
      </c>
      <c r="B245" s="45" t="s">
        <v>283</v>
      </c>
      <c r="C245" s="45" t="s">
        <v>358</v>
      </c>
      <c r="D245" s="45" t="s">
        <v>189</v>
      </c>
      <c r="E245" s="49" t="s">
        <v>464</v>
      </c>
      <c r="F245" s="49" t="s">
        <v>466</v>
      </c>
      <c r="G245" s="45" t="s">
        <v>209</v>
      </c>
      <c r="H245" s="45" t="s">
        <v>181</v>
      </c>
      <c r="I245" s="45" t="s">
        <v>229</v>
      </c>
      <c r="J245" s="46" t="s">
        <v>468</v>
      </c>
      <c r="K245" s="44" t="s">
        <v>435</v>
      </c>
      <c r="L245" s="85">
        <v>111783.7</v>
      </c>
      <c r="M245" s="85">
        <v>85961.38609</v>
      </c>
      <c r="N245" s="85">
        <f>L245</f>
        <v>111783.7</v>
      </c>
      <c r="O245" s="85">
        <v>118789.6</v>
      </c>
      <c r="P245" s="85">
        <v>122901</v>
      </c>
      <c r="Q245" s="85">
        <v>125447.5</v>
      </c>
      <c r="R245" s="67"/>
    </row>
    <row r="246" spans="1:18" ht="25.5" x14ac:dyDescent="0.2">
      <c r="A246" s="44" t="s">
        <v>359</v>
      </c>
      <c r="B246" s="45"/>
      <c r="C246" s="45" t="s">
        <v>358</v>
      </c>
      <c r="D246" s="45" t="s">
        <v>189</v>
      </c>
      <c r="E246" s="45" t="s">
        <v>392</v>
      </c>
      <c r="F246" s="45" t="s">
        <v>180</v>
      </c>
      <c r="G246" s="45" t="s">
        <v>179</v>
      </c>
      <c r="H246" s="45" t="s">
        <v>181</v>
      </c>
      <c r="I246" s="45" t="s">
        <v>229</v>
      </c>
      <c r="J246" s="46" t="s">
        <v>393</v>
      </c>
      <c r="K246" s="44"/>
      <c r="L246" s="85">
        <f>L247+L254</f>
        <v>371618.17699999997</v>
      </c>
      <c r="M246" s="85">
        <f t="shared" ref="M246:Q246" si="95">M247+M254</f>
        <v>354385.10599999997</v>
      </c>
      <c r="N246" s="85">
        <f t="shared" si="95"/>
        <v>371744.07699999999</v>
      </c>
      <c r="O246" s="85">
        <f t="shared" si="95"/>
        <v>16857.862999999998</v>
      </c>
      <c r="P246" s="85">
        <f t="shared" si="95"/>
        <v>0</v>
      </c>
      <c r="Q246" s="85">
        <f t="shared" si="95"/>
        <v>0</v>
      </c>
    </row>
    <row r="247" spans="1:18" ht="76.5" x14ac:dyDescent="0.2">
      <c r="A247" s="44" t="s">
        <v>359</v>
      </c>
      <c r="B247" s="45"/>
      <c r="C247" s="45" t="s">
        <v>358</v>
      </c>
      <c r="D247" s="45" t="s">
        <v>189</v>
      </c>
      <c r="E247" s="45" t="s">
        <v>392</v>
      </c>
      <c r="F247" s="45" t="s">
        <v>394</v>
      </c>
      <c r="G247" s="45" t="s">
        <v>179</v>
      </c>
      <c r="H247" s="45" t="s">
        <v>181</v>
      </c>
      <c r="I247" s="45" t="s">
        <v>229</v>
      </c>
      <c r="J247" s="46" t="s">
        <v>395</v>
      </c>
      <c r="K247" s="44"/>
      <c r="L247" s="85">
        <f>SUM(L248:L253)</f>
        <v>13583.577000000001</v>
      </c>
      <c r="M247" s="85">
        <f t="shared" ref="M247:Q247" si="96">SUM(M248:M253)</f>
        <v>13072.506000000001</v>
      </c>
      <c r="N247" s="85">
        <f t="shared" si="96"/>
        <v>13709.477000000001</v>
      </c>
      <c r="O247" s="85">
        <f t="shared" si="96"/>
        <v>16857.862999999998</v>
      </c>
      <c r="P247" s="85">
        <f t="shared" si="96"/>
        <v>0</v>
      </c>
      <c r="Q247" s="85">
        <f t="shared" si="96"/>
        <v>0</v>
      </c>
    </row>
    <row r="248" spans="1:18" ht="89.25" x14ac:dyDescent="0.2">
      <c r="A248" s="44" t="s">
        <v>359</v>
      </c>
      <c r="B248" s="45" t="s">
        <v>230</v>
      </c>
      <c r="C248" s="45" t="s">
        <v>358</v>
      </c>
      <c r="D248" s="45" t="s">
        <v>189</v>
      </c>
      <c r="E248" s="45" t="s">
        <v>392</v>
      </c>
      <c r="F248" s="45" t="s">
        <v>394</v>
      </c>
      <c r="G248" s="45" t="s">
        <v>209</v>
      </c>
      <c r="H248" s="45" t="s">
        <v>181</v>
      </c>
      <c r="I248" s="45" t="s">
        <v>229</v>
      </c>
      <c r="J248" s="46" t="s">
        <v>396</v>
      </c>
      <c r="K248" s="44" t="s">
        <v>426</v>
      </c>
      <c r="L248" s="85">
        <f>5980.3+137.7+1592.9+2.054+2.223</f>
        <v>7715.1769999999997</v>
      </c>
      <c r="M248" s="85">
        <v>7296.1059999999998</v>
      </c>
      <c r="N248" s="85">
        <f>L248</f>
        <v>7715.1769999999997</v>
      </c>
      <c r="O248" s="85">
        <f>1668.7+3.222+3.541+7007.4+159.4</f>
        <v>8842.262999999999</v>
      </c>
      <c r="P248" s="85">
        <v>0</v>
      </c>
      <c r="Q248" s="85">
        <v>0</v>
      </c>
    </row>
    <row r="249" spans="1:18" ht="89.25" x14ac:dyDescent="0.2">
      <c r="A249" s="44" t="s">
        <v>359</v>
      </c>
      <c r="B249" s="45" t="s">
        <v>287</v>
      </c>
      <c r="C249" s="45" t="s">
        <v>358</v>
      </c>
      <c r="D249" s="45" t="s">
        <v>189</v>
      </c>
      <c r="E249" s="45" t="s">
        <v>392</v>
      </c>
      <c r="F249" s="45" t="s">
        <v>394</v>
      </c>
      <c r="G249" s="45" t="s">
        <v>209</v>
      </c>
      <c r="H249" s="45" t="s">
        <v>181</v>
      </c>
      <c r="I249" s="45" t="s">
        <v>229</v>
      </c>
      <c r="J249" s="46" t="s">
        <v>396</v>
      </c>
      <c r="K249" s="44" t="s">
        <v>428</v>
      </c>
      <c r="L249" s="85">
        <v>1784.4</v>
      </c>
      <c r="M249" s="85">
        <v>1732.4</v>
      </c>
      <c r="N249" s="85">
        <f t="shared" ref="N249:N253" si="97">L249</f>
        <v>1784.4</v>
      </c>
      <c r="O249" s="85">
        <v>1899.4</v>
      </c>
      <c r="P249" s="85">
        <v>0</v>
      </c>
      <c r="Q249" s="85">
        <v>0</v>
      </c>
    </row>
    <row r="250" spans="1:18" ht="89.25" x14ac:dyDescent="0.2">
      <c r="A250" s="44" t="s">
        <v>359</v>
      </c>
      <c r="B250" s="45" t="s">
        <v>281</v>
      </c>
      <c r="C250" s="45" t="s">
        <v>358</v>
      </c>
      <c r="D250" s="45" t="s">
        <v>189</v>
      </c>
      <c r="E250" s="45" t="s">
        <v>392</v>
      </c>
      <c r="F250" s="45" t="s">
        <v>394</v>
      </c>
      <c r="G250" s="45" t="s">
        <v>209</v>
      </c>
      <c r="H250" s="45" t="s">
        <v>181</v>
      </c>
      <c r="I250" s="45" t="s">
        <v>229</v>
      </c>
      <c r="J250" s="46" t="s">
        <v>396</v>
      </c>
      <c r="K250" s="44" t="s">
        <v>429</v>
      </c>
      <c r="L250" s="85">
        <v>2050.3000000000002</v>
      </c>
      <c r="M250" s="85">
        <v>2050.3000000000002</v>
      </c>
      <c r="N250" s="85">
        <f t="shared" si="97"/>
        <v>2050.3000000000002</v>
      </c>
      <c r="O250" s="85">
        <v>3228.5</v>
      </c>
      <c r="P250" s="85">
        <v>0</v>
      </c>
      <c r="Q250" s="85">
        <v>0</v>
      </c>
    </row>
    <row r="251" spans="1:18" ht="89.25" x14ac:dyDescent="0.2">
      <c r="A251" s="44" t="s">
        <v>359</v>
      </c>
      <c r="B251" s="45" t="s">
        <v>277</v>
      </c>
      <c r="C251" s="45" t="s">
        <v>358</v>
      </c>
      <c r="D251" s="45" t="s">
        <v>189</v>
      </c>
      <c r="E251" s="45" t="s">
        <v>392</v>
      </c>
      <c r="F251" s="45" t="s">
        <v>394</v>
      </c>
      <c r="G251" s="45" t="s">
        <v>209</v>
      </c>
      <c r="H251" s="45" t="s">
        <v>181</v>
      </c>
      <c r="I251" s="45" t="s">
        <v>229</v>
      </c>
      <c r="J251" s="46" t="s">
        <v>396</v>
      </c>
      <c r="K251" s="44" t="s">
        <v>430</v>
      </c>
      <c r="L251" s="85">
        <v>0</v>
      </c>
      <c r="M251" s="85">
        <v>0</v>
      </c>
      <c r="N251" s="85">
        <v>125.9</v>
      </c>
      <c r="O251" s="85">
        <v>799.6</v>
      </c>
      <c r="P251" s="85">
        <v>0</v>
      </c>
      <c r="Q251" s="85">
        <v>0</v>
      </c>
    </row>
    <row r="252" spans="1:18" ht="89.25" x14ac:dyDescent="0.2">
      <c r="A252" s="44" t="s">
        <v>359</v>
      </c>
      <c r="B252" s="45" t="s">
        <v>288</v>
      </c>
      <c r="C252" s="45" t="s">
        <v>358</v>
      </c>
      <c r="D252" s="45" t="s">
        <v>189</v>
      </c>
      <c r="E252" s="45" t="s">
        <v>392</v>
      </c>
      <c r="F252" s="45" t="s">
        <v>394</v>
      </c>
      <c r="G252" s="45" t="s">
        <v>209</v>
      </c>
      <c r="H252" s="45" t="s">
        <v>181</v>
      </c>
      <c r="I252" s="45" t="s">
        <v>229</v>
      </c>
      <c r="J252" s="46" t="s">
        <v>396</v>
      </c>
      <c r="K252" s="44" t="s">
        <v>432</v>
      </c>
      <c r="L252" s="85">
        <v>435</v>
      </c>
      <c r="M252" s="85">
        <v>395</v>
      </c>
      <c r="N252" s="85">
        <f t="shared" si="97"/>
        <v>435</v>
      </c>
      <c r="O252" s="85">
        <v>445</v>
      </c>
      <c r="P252" s="85">
        <v>0</v>
      </c>
      <c r="Q252" s="85">
        <v>0</v>
      </c>
    </row>
    <row r="253" spans="1:18" ht="89.25" x14ac:dyDescent="0.2">
      <c r="A253" s="44" t="s">
        <v>359</v>
      </c>
      <c r="B253" s="45">
        <v>929</v>
      </c>
      <c r="C253" s="45" t="s">
        <v>358</v>
      </c>
      <c r="D253" s="45" t="s">
        <v>189</v>
      </c>
      <c r="E253" s="45" t="s">
        <v>392</v>
      </c>
      <c r="F253" s="45" t="s">
        <v>394</v>
      </c>
      <c r="G253" s="45" t="s">
        <v>209</v>
      </c>
      <c r="H253" s="45" t="s">
        <v>181</v>
      </c>
      <c r="I253" s="45" t="s">
        <v>229</v>
      </c>
      <c r="J253" s="46" t="s">
        <v>396</v>
      </c>
      <c r="K253" s="44" t="s">
        <v>433</v>
      </c>
      <c r="L253" s="85">
        <v>1598.7</v>
      </c>
      <c r="M253" s="85">
        <v>1598.7</v>
      </c>
      <c r="N253" s="85">
        <f t="shared" si="97"/>
        <v>1598.7</v>
      </c>
      <c r="O253" s="85">
        <v>1643.1</v>
      </c>
      <c r="P253" s="85">
        <v>0</v>
      </c>
      <c r="Q253" s="85">
        <v>0</v>
      </c>
    </row>
    <row r="254" spans="1:18" ht="25.5" x14ac:dyDescent="0.2">
      <c r="A254" s="44" t="s">
        <v>359</v>
      </c>
      <c r="B254" s="45"/>
      <c r="C254" s="45" t="s">
        <v>358</v>
      </c>
      <c r="D254" s="45" t="s">
        <v>189</v>
      </c>
      <c r="E254" s="45" t="s">
        <v>399</v>
      </c>
      <c r="F254" s="45" t="s">
        <v>363</v>
      </c>
      <c r="G254" s="45" t="s">
        <v>179</v>
      </c>
      <c r="H254" s="45" t="s">
        <v>181</v>
      </c>
      <c r="I254" s="45" t="s">
        <v>229</v>
      </c>
      <c r="J254" s="46" t="s">
        <v>400</v>
      </c>
      <c r="K254" s="44"/>
      <c r="L254" s="85">
        <f>L255+L256</f>
        <v>358034.6</v>
      </c>
      <c r="M254" s="85">
        <f t="shared" ref="M254:P254" si="98">M255+M256</f>
        <v>341312.6</v>
      </c>
      <c r="N254" s="85">
        <f t="shared" si="98"/>
        <v>358034.6</v>
      </c>
      <c r="O254" s="85">
        <f t="shared" si="98"/>
        <v>0</v>
      </c>
      <c r="P254" s="85">
        <f t="shared" si="98"/>
        <v>0</v>
      </c>
      <c r="Q254" s="85">
        <f>Q255+Q256</f>
        <v>0</v>
      </c>
    </row>
    <row r="255" spans="1:18" ht="38.25" x14ac:dyDescent="0.2">
      <c r="A255" s="44" t="s">
        <v>359</v>
      </c>
      <c r="B255" s="45" t="s">
        <v>230</v>
      </c>
      <c r="C255" s="45" t="s">
        <v>358</v>
      </c>
      <c r="D255" s="45" t="s">
        <v>189</v>
      </c>
      <c r="E255" s="45" t="s">
        <v>399</v>
      </c>
      <c r="F255" s="45" t="s">
        <v>363</v>
      </c>
      <c r="G255" s="45" t="s">
        <v>209</v>
      </c>
      <c r="H255" s="45" t="s">
        <v>181</v>
      </c>
      <c r="I255" s="45" t="s">
        <v>229</v>
      </c>
      <c r="J255" s="46" t="s">
        <v>401</v>
      </c>
      <c r="K255" s="44" t="s">
        <v>426</v>
      </c>
      <c r="L255" s="85">
        <f>214691.4+136843.2</f>
        <v>351534.6</v>
      </c>
      <c r="M255" s="85">
        <v>334812.59999999998</v>
      </c>
      <c r="N255" s="85">
        <f>L255</f>
        <v>351534.6</v>
      </c>
      <c r="O255" s="85">
        <v>0</v>
      </c>
      <c r="P255" s="85">
        <v>0</v>
      </c>
      <c r="Q255" s="85">
        <v>0</v>
      </c>
    </row>
    <row r="256" spans="1:18" ht="51" x14ac:dyDescent="0.2">
      <c r="A256" s="44" t="s">
        <v>359</v>
      </c>
      <c r="B256" s="45" t="s">
        <v>286</v>
      </c>
      <c r="C256" s="45" t="s">
        <v>358</v>
      </c>
      <c r="D256" s="45" t="s">
        <v>189</v>
      </c>
      <c r="E256" s="45" t="s">
        <v>399</v>
      </c>
      <c r="F256" s="45" t="s">
        <v>363</v>
      </c>
      <c r="G256" s="45" t="s">
        <v>209</v>
      </c>
      <c r="H256" s="45" t="s">
        <v>181</v>
      </c>
      <c r="I256" s="45" t="s">
        <v>229</v>
      </c>
      <c r="J256" s="46" t="s">
        <v>401</v>
      </c>
      <c r="K256" s="44" t="s">
        <v>431</v>
      </c>
      <c r="L256" s="85">
        <v>6500</v>
      </c>
      <c r="M256" s="85">
        <v>6500</v>
      </c>
      <c r="N256" s="85">
        <f>L256</f>
        <v>6500</v>
      </c>
      <c r="O256" s="85">
        <v>0</v>
      </c>
      <c r="P256" s="85">
        <v>0</v>
      </c>
      <c r="Q256" s="85">
        <v>0</v>
      </c>
    </row>
    <row r="257" spans="1:18" s="56" customFormat="1" ht="25.5" x14ac:dyDescent="0.2">
      <c r="A257" s="44" t="s">
        <v>359</v>
      </c>
      <c r="B257" s="45"/>
      <c r="C257" s="45" t="s">
        <v>358</v>
      </c>
      <c r="D257" s="49" t="s">
        <v>227</v>
      </c>
      <c r="E257" s="45" t="s">
        <v>179</v>
      </c>
      <c r="F257" s="45" t="s">
        <v>180</v>
      </c>
      <c r="G257" s="45" t="s">
        <v>179</v>
      </c>
      <c r="H257" s="45" t="s">
        <v>181</v>
      </c>
      <c r="I257" s="45" t="s">
        <v>180</v>
      </c>
      <c r="J257" s="46" t="s">
        <v>502</v>
      </c>
      <c r="K257" s="44"/>
      <c r="L257" s="85">
        <f>L258</f>
        <v>2925.83293</v>
      </c>
      <c r="M257" s="85">
        <f t="shared" ref="M257:Q258" si="99">M258</f>
        <v>2925.83293</v>
      </c>
      <c r="N257" s="85">
        <f t="shared" si="99"/>
        <v>2925.83293</v>
      </c>
      <c r="O257" s="85">
        <f t="shared" si="99"/>
        <v>0</v>
      </c>
      <c r="P257" s="85">
        <f t="shared" si="99"/>
        <v>0</v>
      </c>
      <c r="Q257" s="85">
        <f>Q258</f>
        <v>0</v>
      </c>
      <c r="R257" s="67"/>
    </row>
    <row r="258" spans="1:18" s="56" customFormat="1" ht="25.5" x14ac:dyDescent="0.2">
      <c r="A258" s="44" t="s">
        <v>359</v>
      </c>
      <c r="B258" s="45"/>
      <c r="C258" s="45" t="s">
        <v>358</v>
      </c>
      <c r="D258" s="49" t="s">
        <v>227</v>
      </c>
      <c r="E258" s="49" t="s">
        <v>209</v>
      </c>
      <c r="F258" s="45" t="s">
        <v>180</v>
      </c>
      <c r="G258" s="45" t="s">
        <v>209</v>
      </c>
      <c r="H258" s="45" t="s">
        <v>181</v>
      </c>
      <c r="I258" s="45" t="s">
        <v>229</v>
      </c>
      <c r="J258" s="46" t="s">
        <v>503</v>
      </c>
      <c r="K258" s="44"/>
      <c r="L258" s="85">
        <f>L259</f>
        <v>2925.83293</v>
      </c>
      <c r="M258" s="85">
        <f t="shared" si="99"/>
        <v>2925.83293</v>
      </c>
      <c r="N258" s="85">
        <f t="shared" si="99"/>
        <v>2925.83293</v>
      </c>
      <c r="O258" s="85">
        <f t="shared" si="99"/>
        <v>0</v>
      </c>
      <c r="P258" s="85">
        <f t="shared" si="99"/>
        <v>0</v>
      </c>
      <c r="Q258" s="85">
        <f t="shared" si="99"/>
        <v>0</v>
      </c>
      <c r="R258" s="67"/>
    </row>
    <row r="259" spans="1:18" s="56" customFormat="1" ht="38.25" x14ac:dyDescent="0.2">
      <c r="A259" s="44" t="s">
        <v>359</v>
      </c>
      <c r="B259" s="45" t="s">
        <v>230</v>
      </c>
      <c r="C259" s="45" t="s">
        <v>358</v>
      </c>
      <c r="D259" s="49" t="s">
        <v>227</v>
      </c>
      <c r="E259" s="49" t="s">
        <v>209</v>
      </c>
      <c r="F259" s="49" t="s">
        <v>193</v>
      </c>
      <c r="G259" s="45" t="s">
        <v>209</v>
      </c>
      <c r="H259" s="45" t="s">
        <v>181</v>
      </c>
      <c r="I259" s="45" t="s">
        <v>229</v>
      </c>
      <c r="J259" s="46" t="s">
        <v>503</v>
      </c>
      <c r="K259" s="44" t="s">
        <v>426</v>
      </c>
      <c r="L259" s="85">
        <v>2925.83293</v>
      </c>
      <c r="M259" s="85">
        <v>2925.83293</v>
      </c>
      <c r="N259" s="85">
        <f>L259</f>
        <v>2925.83293</v>
      </c>
      <c r="O259" s="85">
        <v>0</v>
      </c>
      <c r="P259" s="85">
        <v>0</v>
      </c>
      <c r="Q259" s="85">
        <v>0</v>
      </c>
      <c r="R259" s="67"/>
    </row>
    <row r="260" spans="1:18" s="56" customFormat="1" ht="63.75" x14ac:dyDescent="0.2">
      <c r="A260" s="44" t="s">
        <v>359</v>
      </c>
      <c r="B260" s="45"/>
      <c r="C260" s="45" t="s">
        <v>358</v>
      </c>
      <c r="D260" s="49" t="s">
        <v>463</v>
      </c>
      <c r="E260" s="45" t="s">
        <v>179</v>
      </c>
      <c r="F260" s="45" t="s">
        <v>180</v>
      </c>
      <c r="G260" s="45" t="s">
        <v>179</v>
      </c>
      <c r="H260" s="45" t="s">
        <v>181</v>
      </c>
      <c r="I260" s="45" t="s">
        <v>180</v>
      </c>
      <c r="J260" s="46" t="s">
        <v>450</v>
      </c>
      <c r="K260" s="44"/>
      <c r="L260" s="85">
        <f>L261</f>
        <v>2257.2300300000002</v>
      </c>
      <c r="M260" s="85">
        <f t="shared" ref="M260:Q261" si="100">M261</f>
        <v>2267.2300300000002</v>
      </c>
      <c r="N260" s="85">
        <f t="shared" si="100"/>
        <v>2267.2300300000002</v>
      </c>
      <c r="O260" s="85">
        <f t="shared" si="100"/>
        <v>0</v>
      </c>
      <c r="P260" s="85">
        <f t="shared" si="100"/>
        <v>0</v>
      </c>
      <c r="Q260" s="85">
        <f t="shared" si="100"/>
        <v>0</v>
      </c>
      <c r="R260" s="67"/>
    </row>
    <row r="261" spans="1:18" s="56" customFormat="1" ht="102" x14ac:dyDescent="0.2">
      <c r="A261" s="44" t="s">
        <v>359</v>
      </c>
      <c r="B261" s="45"/>
      <c r="C261" s="45" t="s">
        <v>358</v>
      </c>
      <c r="D261" s="49" t="s">
        <v>463</v>
      </c>
      <c r="E261" s="45" t="s">
        <v>179</v>
      </c>
      <c r="F261" s="45" t="s">
        <v>180</v>
      </c>
      <c r="G261" s="45" t="s">
        <v>209</v>
      </c>
      <c r="H261" s="45" t="s">
        <v>181</v>
      </c>
      <c r="I261" s="45" t="s">
        <v>229</v>
      </c>
      <c r="J261" s="46" t="s">
        <v>570</v>
      </c>
      <c r="K261" s="44"/>
      <c r="L261" s="85">
        <f>L262</f>
        <v>2257.2300300000002</v>
      </c>
      <c r="M261" s="85">
        <f t="shared" si="100"/>
        <v>2267.2300300000002</v>
      </c>
      <c r="N261" s="85">
        <f t="shared" si="100"/>
        <v>2267.2300300000002</v>
      </c>
      <c r="O261" s="85">
        <f t="shared" si="100"/>
        <v>0</v>
      </c>
      <c r="P261" s="85">
        <f t="shared" si="100"/>
        <v>0</v>
      </c>
      <c r="Q261" s="85">
        <f t="shared" si="100"/>
        <v>0</v>
      </c>
      <c r="R261" s="67"/>
    </row>
    <row r="262" spans="1:18" s="56" customFormat="1" ht="38.25" x14ac:dyDescent="0.2">
      <c r="A262" s="44" t="s">
        <v>359</v>
      </c>
      <c r="B262" s="45"/>
      <c r="C262" s="45" t="s">
        <v>358</v>
      </c>
      <c r="D262" s="49" t="s">
        <v>463</v>
      </c>
      <c r="E262" s="49" t="s">
        <v>209</v>
      </c>
      <c r="F262" s="45" t="s">
        <v>180</v>
      </c>
      <c r="G262" s="45" t="s">
        <v>209</v>
      </c>
      <c r="H262" s="45" t="s">
        <v>181</v>
      </c>
      <c r="I262" s="45" t="s">
        <v>229</v>
      </c>
      <c r="J262" s="46" t="s">
        <v>451</v>
      </c>
      <c r="K262" s="44"/>
      <c r="L262" s="85">
        <f>L263+L264</f>
        <v>2257.2300300000002</v>
      </c>
      <c r="M262" s="85">
        <f t="shared" ref="M262:Q262" si="101">M263+M264</f>
        <v>2267.2300300000002</v>
      </c>
      <c r="N262" s="85">
        <f t="shared" si="101"/>
        <v>2267.2300300000002</v>
      </c>
      <c r="O262" s="85">
        <f t="shared" si="101"/>
        <v>0</v>
      </c>
      <c r="P262" s="85">
        <f t="shared" si="101"/>
        <v>0</v>
      </c>
      <c r="Q262" s="85">
        <f t="shared" si="101"/>
        <v>0</v>
      </c>
      <c r="R262" s="67"/>
    </row>
    <row r="263" spans="1:18" s="56" customFormat="1" ht="51" x14ac:dyDescent="0.2">
      <c r="A263" s="44" t="s">
        <v>359</v>
      </c>
      <c r="B263" s="45" t="s">
        <v>286</v>
      </c>
      <c r="C263" s="45" t="s">
        <v>358</v>
      </c>
      <c r="D263" s="49" t="s">
        <v>463</v>
      </c>
      <c r="E263" s="49" t="s">
        <v>209</v>
      </c>
      <c r="F263" s="45" t="s">
        <v>187</v>
      </c>
      <c r="G263" s="45" t="s">
        <v>209</v>
      </c>
      <c r="H263" s="45" t="s">
        <v>181</v>
      </c>
      <c r="I263" s="45" t="s">
        <v>229</v>
      </c>
      <c r="J263" s="46" t="s">
        <v>554</v>
      </c>
      <c r="K263" s="44" t="s">
        <v>431</v>
      </c>
      <c r="L263" s="85">
        <f>3.9076+2253.32151</f>
        <v>2257.2291100000002</v>
      </c>
      <c r="M263" s="85">
        <v>2267.2291100000002</v>
      </c>
      <c r="N263" s="85">
        <f>L263+10</f>
        <v>2267.2291100000002</v>
      </c>
      <c r="O263" s="85">
        <v>0</v>
      </c>
      <c r="P263" s="85">
        <v>0</v>
      </c>
      <c r="Q263" s="85">
        <v>0</v>
      </c>
      <c r="R263" s="67"/>
    </row>
    <row r="264" spans="1:18" s="56" customFormat="1" ht="40.5" customHeight="1" x14ac:dyDescent="0.2">
      <c r="A264" s="44" t="s">
        <v>359</v>
      </c>
      <c r="B264" s="45" t="s">
        <v>230</v>
      </c>
      <c r="C264" s="45" t="s">
        <v>358</v>
      </c>
      <c r="D264" s="49" t="s">
        <v>463</v>
      </c>
      <c r="E264" s="49" t="s">
        <v>209</v>
      </c>
      <c r="F264" s="49" t="s">
        <v>193</v>
      </c>
      <c r="G264" s="45" t="s">
        <v>209</v>
      </c>
      <c r="H264" s="45" t="s">
        <v>181</v>
      </c>
      <c r="I264" s="45" t="s">
        <v>229</v>
      </c>
      <c r="J264" s="46" t="s">
        <v>555</v>
      </c>
      <c r="K264" s="44" t="s">
        <v>426</v>
      </c>
      <c r="L264" s="85">
        <v>9.2000000000000003E-4</v>
      </c>
      <c r="M264" s="85">
        <v>9.2000000000000003E-4</v>
      </c>
      <c r="N264" s="85">
        <f>L264</f>
        <v>9.2000000000000003E-4</v>
      </c>
      <c r="O264" s="85">
        <v>0</v>
      </c>
      <c r="P264" s="85">
        <v>0</v>
      </c>
      <c r="Q264" s="85">
        <v>0</v>
      </c>
      <c r="R264" s="67"/>
    </row>
    <row r="265" spans="1:18" ht="40.5" customHeight="1" x14ac:dyDescent="0.2">
      <c r="A265" s="44" t="s">
        <v>359</v>
      </c>
      <c r="B265" s="45"/>
      <c r="C265" s="45" t="s">
        <v>358</v>
      </c>
      <c r="D265" s="45" t="s">
        <v>362</v>
      </c>
      <c r="E265" s="45" t="s">
        <v>179</v>
      </c>
      <c r="F265" s="45" t="s">
        <v>180</v>
      </c>
      <c r="G265" s="45" t="s">
        <v>179</v>
      </c>
      <c r="H265" s="45" t="s">
        <v>181</v>
      </c>
      <c r="I265" s="45" t="s">
        <v>180</v>
      </c>
      <c r="J265" s="46" t="s">
        <v>403</v>
      </c>
      <c r="K265" s="44"/>
      <c r="L265" s="85">
        <f t="shared" ref="L265:Q265" si="102">L266</f>
        <v>-9319.0734699999994</v>
      </c>
      <c r="M265" s="85">
        <f t="shared" si="102"/>
        <v>-9319.0734699999994</v>
      </c>
      <c r="N265" s="85">
        <f t="shared" si="102"/>
        <v>-9319.6392099999994</v>
      </c>
      <c r="O265" s="85">
        <f t="shared" si="102"/>
        <v>0</v>
      </c>
      <c r="P265" s="85">
        <f t="shared" si="102"/>
        <v>0</v>
      </c>
      <c r="Q265" s="85">
        <f t="shared" si="102"/>
        <v>0</v>
      </c>
    </row>
    <row r="266" spans="1:18" ht="51" x14ac:dyDescent="0.2">
      <c r="A266" s="44" t="s">
        <v>359</v>
      </c>
      <c r="B266" s="45"/>
      <c r="C266" s="45" t="s">
        <v>358</v>
      </c>
      <c r="D266" s="45" t="s">
        <v>362</v>
      </c>
      <c r="E266" s="45" t="s">
        <v>179</v>
      </c>
      <c r="F266" s="45" t="s">
        <v>180</v>
      </c>
      <c r="G266" s="45" t="s">
        <v>209</v>
      </c>
      <c r="H266" s="45" t="s">
        <v>181</v>
      </c>
      <c r="I266" s="45" t="s">
        <v>229</v>
      </c>
      <c r="J266" s="46" t="s">
        <v>404</v>
      </c>
      <c r="K266" s="44"/>
      <c r="L266" s="85">
        <f>SUM(L267:L274)</f>
        <v>-9319.0734699999994</v>
      </c>
      <c r="M266" s="85">
        <f t="shared" ref="M266:Q266" si="103">SUM(M267:M274)</f>
        <v>-9319.0734699999994</v>
      </c>
      <c r="N266" s="85">
        <f t="shared" si="103"/>
        <v>-9319.6392099999994</v>
      </c>
      <c r="O266" s="85">
        <f t="shared" si="103"/>
        <v>0</v>
      </c>
      <c r="P266" s="85">
        <f t="shared" si="103"/>
        <v>0</v>
      </c>
      <c r="Q266" s="85">
        <f t="shared" si="103"/>
        <v>0</v>
      </c>
    </row>
    <row r="267" spans="1:18" ht="89.25" x14ac:dyDescent="0.2">
      <c r="A267" s="44" t="s">
        <v>359</v>
      </c>
      <c r="B267" s="45" t="s">
        <v>286</v>
      </c>
      <c r="C267" s="45" t="s">
        <v>358</v>
      </c>
      <c r="D267" s="45" t="s">
        <v>362</v>
      </c>
      <c r="E267" s="45" t="s">
        <v>371</v>
      </c>
      <c r="F267" s="49" t="s">
        <v>372</v>
      </c>
      <c r="G267" s="45" t="s">
        <v>209</v>
      </c>
      <c r="H267" s="45" t="s">
        <v>181</v>
      </c>
      <c r="I267" s="45" t="s">
        <v>229</v>
      </c>
      <c r="J267" s="46" t="s">
        <v>452</v>
      </c>
      <c r="K267" s="44" t="s">
        <v>431</v>
      </c>
      <c r="L267" s="85">
        <f>-1343.84406-4764.51331</f>
        <v>-6108.3573699999997</v>
      </c>
      <c r="M267" s="85">
        <v>-6108.3573699999997</v>
      </c>
      <c r="N267" s="85">
        <f>L267</f>
        <v>-6108.3573699999997</v>
      </c>
      <c r="O267" s="85">
        <v>0</v>
      </c>
      <c r="P267" s="85">
        <v>0</v>
      </c>
      <c r="Q267" s="85">
        <v>0</v>
      </c>
    </row>
    <row r="268" spans="1:18" ht="52.5" customHeight="1" x14ac:dyDescent="0.2">
      <c r="A268" s="44" t="s">
        <v>359</v>
      </c>
      <c r="B268" s="45" t="s">
        <v>230</v>
      </c>
      <c r="C268" s="45" t="s">
        <v>358</v>
      </c>
      <c r="D268" s="45" t="s">
        <v>362</v>
      </c>
      <c r="E268" s="45" t="s">
        <v>371</v>
      </c>
      <c r="F268" s="49">
        <v>497</v>
      </c>
      <c r="G268" s="45" t="s">
        <v>209</v>
      </c>
      <c r="H268" s="45" t="s">
        <v>181</v>
      </c>
      <c r="I268" s="45" t="s">
        <v>229</v>
      </c>
      <c r="J268" s="46" t="s">
        <v>562</v>
      </c>
      <c r="K268" s="44" t="s">
        <v>426</v>
      </c>
      <c r="L268" s="85">
        <v>0</v>
      </c>
      <c r="M268" s="85">
        <v>0</v>
      </c>
      <c r="N268" s="85">
        <v>-0.56574000000000002</v>
      </c>
      <c r="O268" s="85">
        <v>0</v>
      </c>
      <c r="P268" s="85">
        <v>0</v>
      </c>
      <c r="Q268" s="85">
        <v>0</v>
      </c>
    </row>
    <row r="269" spans="1:18" ht="52.5" customHeight="1" x14ac:dyDescent="0.2">
      <c r="A269" s="44" t="s">
        <v>359</v>
      </c>
      <c r="B269" s="45" t="s">
        <v>286</v>
      </c>
      <c r="C269" s="45" t="s">
        <v>358</v>
      </c>
      <c r="D269" s="45" t="s">
        <v>362</v>
      </c>
      <c r="E269" s="45" t="s">
        <v>371</v>
      </c>
      <c r="F269" s="49">
        <v>750</v>
      </c>
      <c r="G269" s="45" t="s">
        <v>209</v>
      </c>
      <c r="H269" s="45" t="s">
        <v>181</v>
      </c>
      <c r="I269" s="45" t="s">
        <v>229</v>
      </c>
      <c r="J269" s="46" t="s">
        <v>504</v>
      </c>
      <c r="K269" s="44" t="s">
        <v>431</v>
      </c>
      <c r="L269" s="85">
        <f>-0.05715-0.20264</f>
        <v>-0.25978999999999997</v>
      </c>
      <c r="M269" s="85">
        <v>-0.25979000000000002</v>
      </c>
      <c r="N269" s="85">
        <f>L269</f>
        <v>-0.25978999999999997</v>
      </c>
      <c r="O269" s="85">
        <v>0</v>
      </c>
      <c r="P269" s="85">
        <v>0</v>
      </c>
      <c r="Q269" s="85">
        <v>0</v>
      </c>
    </row>
    <row r="270" spans="1:18" ht="89.25" x14ac:dyDescent="0.2">
      <c r="A270" s="44" t="s">
        <v>359</v>
      </c>
      <c r="B270" s="45" t="s">
        <v>286</v>
      </c>
      <c r="C270" s="45" t="s">
        <v>358</v>
      </c>
      <c r="D270" s="45" t="s">
        <v>362</v>
      </c>
      <c r="E270" s="45">
        <v>35</v>
      </c>
      <c r="F270" s="49">
        <v>303</v>
      </c>
      <c r="G270" s="45" t="s">
        <v>209</v>
      </c>
      <c r="H270" s="45" t="s">
        <v>181</v>
      </c>
      <c r="I270" s="45" t="s">
        <v>229</v>
      </c>
      <c r="J270" s="46" t="s">
        <v>505</v>
      </c>
      <c r="K270" s="44" t="s">
        <v>431</v>
      </c>
      <c r="L270" s="85">
        <v>-824.49590999999998</v>
      </c>
      <c r="M270" s="85">
        <v>-824.49590999999998</v>
      </c>
      <c r="N270" s="85">
        <f t="shared" ref="N270:N274" si="104">L270</f>
        <v>-824.49590999999998</v>
      </c>
      <c r="O270" s="85">
        <v>0</v>
      </c>
      <c r="P270" s="85">
        <v>0</v>
      </c>
      <c r="Q270" s="85">
        <v>0</v>
      </c>
    </row>
    <row r="271" spans="1:18" ht="102" x14ac:dyDescent="0.2">
      <c r="A271" s="44" t="s">
        <v>359</v>
      </c>
      <c r="B271" s="45" t="s">
        <v>286</v>
      </c>
      <c r="C271" s="45" t="s">
        <v>358</v>
      </c>
      <c r="D271" s="45" t="s">
        <v>362</v>
      </c>
      <c r="E271" s="49" t="s">
        <v>397</v>
      </c>
      <c r="F271" s="49">
        <v>179</v>
      </c>
      <c r="G271" s="45" t="s">
        <v>209</v>
      </c>
      <c r="H271" s="45" t="s">
        <v>181</v>
      </c>
      <c r="I271" s="45" t="s">
        <v>229</v>
      </c>
      <c r="J271" s="46" t="s">
        <v>506</v>
      </c>
      <c r="K271" s="44" t="s">
        <v>431</v>
      </c>
      <c r="L271" s="85">
        <f>-29.13099-699.14289</f>
        <v>-728.27387999999996</v>
      </c>
      <c r="M271" s="85">
        <v>-728.27387999999996</v>
      </c>
      <c r="N271" s="85">
        <f t="shared" si="104"/>
        <v>-728.27387999999996</v>
      </c>
      <c r="O271" s="85">
        <v>0</v>
      </c>
      <c r="P271" s="85">
        <v>0</v>
      </c>
      <c r="Q271" s="85">
        <v>0</v>
      </c>
    </row>
    <row r="272" spans="1:18" ht="68.25" customHeight="1" x14ac:dyDescent="0.2">
      <c r="A272" s="44" t="s">
        <v>359</v>
      </c>
      <c r="B272" s="45" t="s">
        <v>277</v>
      </c>
      <c r="C272" s="45" t="s">
        <v>358</v>
      </c>
      <c r="D272" s="45" t="s">
        <v>362</v>
      </c>
      <c r="E272" s="45" t="s">
        <v>402</v>
      </c>
      <c r="F272" s="45" t="s">
        <v>187</v>
      </c>
      <c r="G272" s="45" t="s">
        <v>209</v>
      </c>
      <c r="H272" s="45" t="s">
        <v>181</v>
      </c>
      <c r="I272" s="45" t="s">
        <v>229</v>
      </c>
      <c r="J272" s="46" t="s">
        <v>405</v>
      </c>
      <c r="K272" s="44" t="s">
        <v>430</v>
      </c>
      <c r="L272" s="85">
        <v>-464.78464000000002</v>
      </c>
      <c r="M272" s="85">
        <v>-464.78464000000002</v>
      </c>
      <c r="N272" s="85">
        <f t="shared" si="104"/>
        <v>-464.78464000000002</v>
      </c>
      <c r="O272" s="85">
        <v>0</v>
      </c>
      <c r="P272" s="85">
        <v>0</v>
      </c>
      <c r="Q272" s="85">
        <v>0</v>
      </c>
    </row>
    <row r="273" spans="1:18" ht="68.25" customHeight="1" x14ac:dyDescent="0.2">
      <c r="A273" s="44" t="s">
        <v>359</v>
      </c>
      <c r="B273" s="45" t="s">
        <v>286</v>
      </c>
      <c r="C273" s="45" t="s">
        <v>358</v>
      </c>
      <c r="D273" s="45" t="s">
        <v>362</v>
      </c>
      <c r="E273" s="45" t="s">
        <v>402</v>
      </c>
      <c r="F273" s="45" t="s">
        <v>187</v>
      </c>
      <c r="G273" s="45" t="s">
        <v>209</v>
      </c>
      <c r="H273" s="45" t="s">
        <v>181</v>
      </c>
      <c r="I273" s="45" t="s">
        <v>229</v>
      </c>
      <c r="J273" s="46" t="s">
        <v>405</v>
      </c>
      <c r="K273" s="44" t="s">
        <v>431</v>
      </c>
      <c r="L273" s="85">
        <f>-617.04641-174.48489-16.76158-15.0102-48.97-232.37832</f>
        <v>-1104.6514000000002</v>
      </c>
      <c r="M273" s="85">
        <v>-1104.6514</v>
      </c>
      <c r="N273" s="85">
        <f t="shared" si="104"/>
        <v>-1104.6514000000002</v>
      </c>
      <c r="O273" s="85">
        <v>0</v>
      </c>
      <c r="P273" s="85">
        <v>0</v>
      </c>
      <c r="Q273" s="85">
        <v>0</v>
      </c>
    </row>
    <row r="274" spans="1:18" ht="68.25" customHeight="1" x14ac:dyDescent="0.2">
      <c r="A274" s="44" t="s">
        <v>359</v>
      </c>
      <c r="B274" s="45" t="s">
        <v>283</v>
      </c>
      <c r="C274" s="45" t="s">
        <v>358</v>
      </c>
      <c r="D274" s="45" t="s">
        <v>362</v>
      </c>
      <c r="E274" s="45" t="s">
        <v>402</v>
      </c>
      <c r="F274" s="45" t="s">
        <v>187</v>
      </c>
      <c r="G274" s="45" t="s">
        <v>209</v>
      </c>
      <c r="H274" s="45" t="s">
        <v>181</v>
      </c>
      <c r="I274" s="45" t="s">
        <v>229</v>
      </c>
      <c r="J274" s="46" t="s">
        <v>405</v>
      </c>
      <c r="K274" s="44" t="s">
        <v>435</v>
      </c>
      <c r="L274" s="85">
        <f>-14.98639-72.12138-1.14271</f>
        <v>-88.250479999999996</v>
      </c>
      <c r="M274" s="85">
        <v>-88.250479999999996</v>
      </c>
      <c r="N274" s="85">
        <f t="shared" si="104"/>
        <v>-88.250479999999996</v>
      </c>
      <c r="O274" s="85">
        <v>0</v>
      </c>
      <c r="P274" s="85">
        <v>0</v>
      </c>
      <c r="Q274" s="85">
        <v>0</v>
      </c>
    </row>
    <row r="275" spans="1:18" ht="12.75" x14ac:dyDescent="0.2">
      <c r="A275" s="80"/>
      <c r="B275" s="57"/>
      <c r="C275" s="80"/>
      <c r="D275" s="80"/>
      <c r="E275" s="80"/>
      <c r="F275" s="80"/>
      <c r="G275" s="80"/>
      <c r="H275" s="57"/>
      <c r="I275" s="80"/>
      <c r="J275" s="87"/>
      <c r="K275" s="51" t="s">
        <v>94</v>
      </c>
      <c r="L275" s="88">
        <f t="shared" ref="L275:Q275" si="105">L13+L204</f>
        <v>4636961.7581399996</v>
      </c>
      <c r="M275" s="88">
        <f t="shared" si="105"/>
        <v>3663478.5361799998</v>
      </c>
      <c r="N275" s="88">
        <f t="shared" si="105"/>
        <v>4825633.15814</v>
      </c>
      <c r="O275" s="88">
        <f t="shared" si="105"/>
        <v>5204287.3629999999</v>
      </c>
      <c r="P275" s="88">
        <f t="shared" si="105"/>
        <v>4575358.5999999996</v>
      </c>
      <c r="Q275" s="88">
        <f t="shared" si="105"/>
        <v>4564667.1000000006</v>
      </c>
    </row>
    <row r="277" spans="1:18" s="58" customFormat="1" ht="81" customHeight="1" x14ac:dyDescent="0.2">
      <c r="A277" s="89" t="s">
        <v>571</v>
      </c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71"/>
    </row>
    <row r="278" spans="1:18" s="60" customFormat="1" ht="13.5" customHeight="1" x14ac:dyDescent="0.2">
      <c r="A278" s="90"/>
      <c r="B278" s="90"/>
      <c r="C278" s="90"/>
      <c r="D278" s="84"/>
      <c r="E278" s="84"/>
      <c r="F278" s="84"/>
      <c r="G278" s="84"/>
      <c r="H278" s="84"/>
      <c r="I278" s="84"/>
      <c r="J278" s="84"/>
      <c r="K278" s="78"/>
      <c r="L278" s="84"/>
      <c r="M278" s="84"/>
      <c r="N278" s="84"/>
      <c r="O278" s="84"/>
      <c r="P278" s="84"/>
      <c r="Q278" s="84"/>
      <c r="R278" s="72"/>
    </row>
    <row r="279" spans="1:18" s="60" customFormat="1" ht="13.5" customHeight="1" x14ac:dyDescent="0.2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78"/>
      <c r="L279" s="84"/>
      <c r="M279" s="84"/>
      <c r="N279" s="84"/>
      <c r="O279" s="84"/>
      <c r="P279" s="84"/>
      <c r="Q279" s="84"/>
      <c r="R279" s="72"/>
    </row>
    <row r="280" spans="1:18" s="59" customFormat="1" ht="18.75" x14ac:dyDescent="0.2">
      <c r="A280" s="61" t="s">
        <v>408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79"/>
      <c r="L280" s="62"/>
      <c r="M280" s="62"/>
      <c r="N280" s="61"/>
      <c r="O280" s="61"/>
      <c r="P280" s="92" t="s">
        <v>409</v>
      </c>
      <c r="Q280" s="92"/>
      <c r="R280" s="73"/>
    </row>
    <row r="281" spans="1:18" s="59" customFormat="1" ht="18.75" x14ac:dyDescent="0.2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79"/>
      <c r="L281" s="61"/>
      <c r="M281" s="61"/>
      <c r="N281" s="61"/>
      <c r="O281" s="61"/>
      <c r="P281" s="61"/>
      <c r="Q281" s="61"/>
      <c r="R281" s="73"/>
    </row>
    <row r="282" spans="1:18" s="59" customFormat="1" ht="18.75" x14ac:dyDescent="0.2">
      <c r="A282" s="61" t="s">
        <v>415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79"/>
      <c r="L282" s="61"/>
      <c r="M282" s="61"/>
      <c r="N282" s="61"/>
      <c r="O282" s="61"/>
      <c r="P282" s="61"/>
      <c r="Q282" s="61"/>
      <c r="R282" s="73"/>
    </row>
    <row r="283" spans="1:18" s="59" customFormat="1" ht="18.75" x14ac:dyDescent="0.2">
      <c r="A283" s="61" t="s">
        <v>416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79"/>
      <c r="L283" s="61"/>
      <c r="M283" s="61"/>
      <c r="N283" s="61"/>
      <c r="O283" s="61"/>
      <c r="P283" s="61"/>
      <c r="Q283" s="61"/>
      <c r="R283" s="73"/>
    </row>
  </sheetData>
  <autoFilter ref="A12:Q275"/>
  <mergeCells count="23">
    <mergeCell ref="M9:M11"/>
    <mergeCell ref="A1:Q1"/>
    <mergeCell ref="A2:Q2"/>
    <mergeCell ref="A3:Q3"/>
    <mergeCell ref="G5:N5"/>
    <mergeCell ref="G6:N6"/>
    <mergeCell ref="G7:N7"/>
    <mergeCell ref="A277:Q277"/>
    <mergeCell ref="A278:C278"/>
    <mergeCell ref="A279:J279"/>
    <mergeCell ref="P280:Q280"/>
    <mergeCell ref="N9:N11"/>
    <mergeCell ref="O9:O11"/>
    <mergeCell ref="P9:P11"/>
    <mergeCell ref="Q9:Q11"/>
    <mergeCell ref="B10:B11"/>
    <mergeCell ref="C10:G10"/>
    <mergeCell ref="H10:I10"/>
    <mergeCell ref="A9:A11"/>
    <mergeCell ref="B9:I9"/>
    <mergeCell ref="J9:J11"/>
    <mergeCell ref="K9:K11"/>
    <mergeCell ref="L9:L11"/>
  </mergeCells>
  <printOptions horizontalCentered="1"/>
  <pageMargins left="0.39370078740157483" right="0.39370078740157483" top="0.78740157480314965" bottom="0.39370078740157483" header="0.39370078740157483" footer="0"/>
  <pageSetup paperSize="9" scale="66" fitToWidth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28"/>
  <sheetViews>
    <sheetView workbookViewId="0">
      <selection activeCell="M8" sqref="L8:M10"/>
    </sheetView>
  </sheetViews>
  <sheetFormatPr defaultRowHeight="12.75" x14ac:dyDescent="0.2"/>
  <cols>
    <col min="1" max="1" width="9.140625" style="1" customWidth="1" collapsed="1"/>
    <col min="2" max="2" width="9.28515625" style="1" customWidth="1" collapsed="1"/>
    <col min="3" max="3" width="9.140625" style="1" customWidth="1" collapsed="1"/>
    <col min="4" max="4" width="7.5703125" style="1" customWidth="1" collapsed="1"/>
    <col min="5" max="5" width="9.7109375" style="1" customWidth="1" collapsed="1"/>
    <col min="6" max="6" width="7.85546875" style="1" customWidth="1" collapsed="1"/>
    <col min="7" max="7" width="8.7109375" style="1" customWidth="1" collapsed="1"/>
    <col min="8" max="8" width="9" style="1" customWidth="1" collapsed="1"/>
    <col min="9" max="9" width="24.7109375" style="2" customWidth="1" collapsed="1"/>
    <col min="10" max="10" width="9.42578125" style="1" customWidth="1" collapsed="1"/>
    <col min="11" max="11" width="16.5703125" style="2" customWidth="1" collapsed="1"/>
    <col min="12" max="12" width="14.5703125" style="1" customWidth="1" collapsed="1"/>
    <col min="13" max="13" width="17.7109375" style="1" customWidth="1" collapsed="1"/>
    <col min="14" max="14" width="15.85546875" style="1" customWidth="1" collapsed="1"/>
    <col min="15" max="15" width="16.28515625" style="1" customWidth="1" collapsed="1"/>
    <col min="16" max="16" width="14.42578125" style="1" customWidth="1" collapsed="1"/>
    <col min="17" max="17" width="14.140625" style="1" customWidth="1" collapsed="1"/>
    <col min="18" max="18" width="14.42578125" style="1" customWidth="1" collapsed="1"/>
    <col min="19" max="29" width="11.5703125" style="1" customWidth="1" collapsed="1"/>
    <col min="30" max="1025" width="9.140625" style="1" customWidth="1" collapsed="1"/>
  </cols>
  <sheetData>
    <row r="1" spans="1:1024" ht="42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4" customFormat="1" ht="28.5" customHeight="1" x14ac:dyDescent="0.2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024" x14ac:dyDescent="0.2">
      <c r="A3"/>
      <c r="B3" s="5"/>
      <c r="C3" s="5"/>
      <c r="D3" s="5"/>
      <c r="E3" s="5"/>
      <c r="F3" s="5"/>
      <c r="G3" s="5"/>
      <c r="H3" s="5"/>
      <c r="I3" s="6"/>
      <c r="J3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0" customFormat="1" ht="15" customHeight="1" x14ac:dyDescent="0.2">
      <c r="A4" s="103" t="s">
        <v>1</v>
      </c>
      <c r="B4" s="103"/>
      <c r="C4" s="7"/>
      <c r="D4" s="7"/>
      <c r="E4" s="7"/>
      <c r="F4" s="104" t="s">
        <v>2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8"/>
      <c r="R4" s="9"/>
    </row>
    <row r="5" spans="1:1024" ht="15" customHeight="1" x14ac:dyDescent="0.2">
      <c r="A5" s="103" t="s">
        <v>3</v>
      </c>
      <c r="B5" s="103"/>
      <c r="C5" s="103"/>
      <c r="D5" s="103"/>
      <c r="E5" s="103"/>
      <c r="F5" s="105" t="s">
        <v>4</v>
      </c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1"/>
      <c r="R5" s="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customHeight="1" x14ac:dyDescent="0.2">
      <c r="A6" s="103" t="s">
        <v>5</v>
      </c>
      <c r="B6" s="103"/>
      <c r="C6"/>
      <c r="D6" s="12"/>
      <c r="E6" s="12"/>
      <c r="F6" s="106" t="s">
        <v>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1"/>
      <c r="R6" s="9"/>
      <c r="S6" s="12"/>
      <c r="T6" s="12"/>
      <c r="U6" s="12"/>
      <c r="V6" s="12"/>
      <c r="W6" s="12"/>
      <c r="X6" s="12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 s="5"/>
      <c r="C7" s="5"/>
      <c r="D7" s="5"/>
      <c r="E7" s="5"/>
      <c r="F7" s="5"/>
      <c r="G7" s="5"/>
      <c r="H7" s="5"/>
      <c r="I7" s="6"/>
      <c r="J7"/>
      <c r="K7" s="6"/>
      <c r="L7"/>
      <c r="M7" t="s">
        <v>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 x14ac:dyDescent="0.2">
      <c r="A8" s="108" t="s">
        <v>8</v>
      </c>
      <c r="B8" s="107" t="s">
        <v>9</v>
      </c>
      <c r="C8" s="107"/>
      <c r="D8" s="107"/>
      <c r="E8" s="107"/>
      <c r="F8" s="107"/>
      <c r="G8" s="107"/>
      <c r="H8" s="107"/>
      <c r="I8" s="107" t="s">
        <v>10</v>
      </c>
      <c r="J8" s="107" t="s">
        <v>11</v>
      </c>
      <c r="K8" s="107"/>
      <c r="L8" s="107" t="s">
        <v>12</v>
      </c>
      <c r="M8" s="107" t="s">
        <v>13</v>
      </c>
      <c r="N8" s="107" t="s">
        <v>14</v>
      </c>
      <c r="O8" s="107" t="s">
        <v>15</v>
      </c>
      <c r="P8" s="107" t="s">
        <v>16</v>
      </c>
      <c r="Q8" s="107"/>
      <c r="R8" s="107"/>
      <c r="S8" s="108" t="s">
        <v>17</v>
      </c>
      <c r="T8" s="108"/>
      <c r="U8" s="108"/>
      <c r="V8" s="108" t="s">
        <v>18</v>
      </c>
      <c r="W8" s="108"/>
      <c r="X8" s="108"/>
      <c r="Y8" s="109" t="s">
        <v>19</v>
      </c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8" t="s">
        <v>20</v>
      </c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7.75" customHeight="1" x14ac:dyDescent="0.2">
      <c r="A9" s="108"/>
      <c r="B9" s="107" t="s">
        <v>21</v>
      </c>
      <c r="C9" s="107"/>
      <c r="D9" s="107"/>
      <c r="E9" s="107"/>
      <c r="F9" s="107"/>
      <c r="G9" s="107" t="s">
        <v>22</v>
      </c>
      <c r="H9" s="107"/>
      <c r="I9" s="107"/>
      <c r="J9" s="107"/>
      <c r="K9" s="107"/>
      <c r="L9" s="107"/>
      <c r="M9" s="107"/>
      <c r="N9" s="107"/>
      <c r="O9" s="107"/>
      <c r="P9" s="108" t="s">
        <v>23</v>
      </c>
      <c r="Q9" s="108" t="s">
        <v>24</v>
      </c>
      <c r="R9" s="108" t="s">
        <v>25</v>
      </c>
      <c r="S9" s="108" t="s">
        <v>23</v>
      </c>
      <c r="T9" s="108" t="s">
        <v>24</v>
      </c>
      <c r="U9" s="108" t="s">
        <v>25</v>
      </c>
      <c r="V9" s="108" t="s">
        <v>23</v>
      </c>
      <c r="W9" s="108" t="s">
        <v>24</v>
      </c>
      <c r="X9" s="108" t="s">
        <v>25</v>
      </c>
      <c r="Y9" s="109" t="s">
        <v>26</v>
      </c>
      <c r="Z9" s="109" t="s">
        <v>27</v>
      </c>
      <c r="AA9" s="109" t="s">
        <v>28</v>
      </c>
      <c r="AB9" s="109" t="s">
        <v>29</v>
      </c>
      <c r="AC9" s="109" t="s">
        <v>30</v>
      </c>
      <c r="AD9" s="109" t="s">
        <v>31</v>
      </c>
      <c r="AE9" s="109" t="s">
        <v>32</v>
      </c>
      <c r="AF9" s="109" t="s">
        <v>33</v>
      </c>
      <c r="AG9" s="109" t="s">
        <v>34</v>
      </c>
      <c r="AH9" s="109" t="s">
        <v>35</v>
      </c>
      <c r="AI9" s="109" t="s">
        <v>36</v>
      </c>
      <c r="AJ9" s="109" t="s">
        <v>37</v>
      </c>
      <c r="AK9" s="108" t="s">
        <v>26</v>
      </c>
      <c r="AL9" s="108" t="s">
        <v>27</v>
      </c>
      <c r="AM9" s="108" t="s">
        <v>28</v>
      </c>
      <c r="AN9" s="108" t="s">
        <v>29</v>
      </c>
      <c r="AO9" s="108" t="s">
        <v>30</v>
      </c>
      <c r="AP9" s="108" t="s">
        <v>31</v>
      </c>
      <c r="AQ9" s="108" t="s">
        <v>32</v>
      </c>
      <c r="AR9" s="108" t="s">
        <v>33</v>
      </c>
      <c r="AS9" s="108" t="s">
        <v>34</v>
      </c>
      <c r="AT9" s="108" t="s">
        <v>35</v>
      </c>
      <c r="AU9" s="108" t="s">
        <v>36</v>
      </c>
      <c r="AV9" s="108" t="s">
        <v>37</v>
      </c>
      <c r="AW9" s="108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76.5" x14ac:dyDescent="0.2">
      <c r="A10" s="108"/>
      <c r="B10" s="14" t="s">
        <v>38</v>
      </c>
      <c r="C10" s="14" t="s">
        <v>39</v>
      </c>
      <c r="D10" s="14" t="s">
        <v>40</v>
      </c>
      <c r="E10" s="14" t="s">
        <v>41</v>
      </c>
      <c r="F10" s="14" t="s">
        <v>42</v>
      </c>
      <c r="G10" s="14" t="s">
        <v>43</v>
      </c>
      <c r="H10" s="14" t="s">
        <v>44</v>
      </c>
      <c r="I10" s="107"/>
      <c r="J10" s="13" t="s">
        <v>45</v>
      </c>
      <c r="K10" s="14" t="s">
        <v>46</v>
      </c>
      <c r="L10" s="107"/>
      <c r="M10" s="107"/>
      <c r="N10" s="107"/>
      <c r="O10" s="107"/>
      <c r="P10" s="108"/>
      <c r="Q10" s="108"/>
      <c r="R10" s="108"/>
      <c r="S10" s="108"/>
      <c r="T10" s="108"/>
      <c r="U10" s="108"/>
      <c r="V10" s="108"/>
      <c r="W10" s="108"/>
      <c r="X10" s="108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13">
        <v>1</v>
      </c>
      <c r="B11" s="14">
        <v>2</v>
      </c>
      <c r="C11" s="13">
        <v>3</v>
      </c>
      <c r="D11" s="13">
        <v>4</v>
      </c>
      <c r="E11" s="14">
        <v>5</v>
      </c>
      <c r="F11" s="13">
        <v>6</v>
      </c>
      <c r="G11" s="13">
        <v>7</v>
      </c>
      <c r="H11" s="14">
        <v>8</v>
      </c>
      <c r="I11" s="14">
        <v>9</v>
      </c>
      <c r="J11" s="13">
        <v>10</v>
      </c>
      <c r="K11" s="14">
        <v>11</v>
      </c>
      <c r="L11" s="14">
        <v>12</v>
      </c>
      <c r="M11" s="13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3">
        <v>17</v>
      </c>
      <c r="T11" s="13">
        <v>18</v>
      </c>
      <c r="U11" s="13">
        <v>19</v>
      </c>
      <c r="V11" s="13">
        <v>20</v>
      </c>
      <c r="W11" s="13">
        <v>21</v>
      </c>
      <c r="X11" s="13">
        <v>22</v>
      </c>
      <c r="Y11" s="13">
        <v>23</v>
      </c>
      <c r="Z11" s="13">
        <v>24</v>
      </c>
      <c r="AA11" s="13">
        <v>25</v>
      </c>
      <c r="AB11" s="13">
        <v>26</v>
      </c>
      <c r="AC11" s="13">
        <v>27</v>
      </c>
      <c r="AD11" s="13">
        <v>28</v>
      </c>
      <c r="AE11" s="13">
        <v>29</v>
      </c>
      <c r="AF11" s="13">
        <v>30</v>
      </c>
      <c r="AG11" s="13">
        <v>31</v>
      </c>
      <c r="AH11" s="13">
        <v>32</v>
      </c>
      <c r="AI11" s="13">
        <v>33</v>
      </c>
      <c r="AJ11" s="13">
        <v>34</v>
      </c>
      <c r="AK11" s="13">
        <v>35</v>
      </c>
      <c r="AL11" s="13">
        <v>36</v>
      </c>
      <c r="AM11" s="13">
        <v>37</v>
      </c>
      <c r="AN11" s="13">
        <v>38</v>
      </c>
      <c r="AO11" s="13">
        <v>39</v>
      </c>
      <c r="AP11" s="13">
        <v>40</v>
      </c>
      <c r="AQ11" s="13">
        <v>41</v>
      </c>
      <c r="AR11" s="13">
        <v>42</v>
      </c>
      <c r="AS11" s="13">
        <v>43</v>
      </c>
      <c r="AT11" s="13">
        <v>44</v>
      </c>
      <c r="AU11" s="13">
        <v>45</v>
      </c>
      <c r="AV11" s="13">
        <v>46</v>
      </c>
      <c r="AW11" s="13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" customFormat="1" ht="11.25" x14ac:dyDescent="0.2">
      <c r="A12" s="15" t="s">
        <v>47</v>
      </c>
      <c r="B12" s="16" t="s">
        <v>48</v>
      </c>
      <c r="C12" s="16" t="s">
        <v>49</v>
      </c>
      <c r="D12" s="16" t="s">
        <v>50</v>
      </c>
      <c r="E12" s="16" t="s">
        <v>51</v>
      </c>
      <c r="F12" s="16" t="s">
        <v>52</v>
      </c>
      <c r="G12" s="16" t="s">
        <v>53</v>
      </c>
      <c r="H12" s="16" t="s">
        <v>54</v>
      </c>
      <c r="I12" s="17" t="s">
        <v>55</v>
      </c>
      <c r="J12" s="16" t="s">
        <v>56</v>
      </c>
      <c r="K12" s="18" t="s">
        <v>57</v>
      </c>
      <c r="L12" s="19"/>
      <c r="M12" s="20" t="s">
        <v>58</v>
      </c>
      <c r="N12" s="20" t="s">
        <v>59</v>
      </c>
      <c r="O12" s="21" t="s">
        <v>60</v>
      </c>
      <c r="P12" s="21" t="s">
        <v>61</v>
      </c>
      <c r="Q12" s="21" t="s">
        <v>62</v>
      </c>
      <c r="R12" s="21" t="s">
        <v>63</v>
      </c>
      <c r="S12" s="22" t="s">
        <v>64</v>
      </c>
      <c r="T12" s="22" t="s">
        <v>65</v>
      </c>
      <c r="U12" s="22" t="s">
        <v>66</v>
      </c>
      <c r="V12" s="22" t="s">
        <v>67</v>
      </c>
      <c r="W12" s="22" t="s">
        <v>68</v>
      </c>
      <c r="X12" s="22" t="s">
        <v>69</v>
      </c>
      <c r="Y12" s="22" t="s">
        <v>70</v>
      </c>
      <c r="Z12" s="22" t="s">
        <v>71</v>
      </c>
      <c r="AA12" s="22" t="s">
        <v>72</v>
      </c>
      <c r="AB12" s="22" t="s">
        <v>73</v>
      </c>
      <c r="AC12" s="22" t="s">
        <v>74</v>
      </c>
      <c r="AD12" s="22" t="s">
        <v>75</v>
      </c>
      <c r="AE12" s="22" t="s">
        <v>76</v>
      </c>
      <c r="AF12" s="22" t="s">
        <v>77</v>
      </c>
      <c r="AG12" s="22" t="s">
        <v>78</v>
      </c>
      <c r="AH12" s="22" t="s">
        <v>79</v>
      </c>
      <c r="AI12" s="22" t="s">
        <v>80</v>
      </c>
      <c r="AJ12" s="22" t="s">
        <v>81</v>
      </c>
      <c r="AK12" s="22" t="s">
        <v>82</v>
      </c>
      <c r="AL12" s="22" t="s">
        <v>83</v>
      </c>
      <c r="AM12" s="22" t="s">
        <v>84</v>
      </c>
      <c r="AN12" s="22" t="s">
        <v>85</v>
      </c>
      <c r="AO12" s="22" t="s">
        <v>86</v>
      </c>
      <c r="AP12" s="22" t="s">
        <v>87</v>
      </c>
      <c r="AQ12" s="22" t="s">
        <v>88</v>
      </c>
      <c r="AR12" s="22" t="s">
        <v>89</v>
      </c>
      <c r="AS12" s="22" t="s">
        <v>90</v>
      </c>
      <c r="AT12" s="22" t="s">
        <v>91</v>
      </c>
      <c r="AU12" s="22" t="s">
        <v>92</v>
      </c>
      <c r="AV12" s="22" t="s">
        <v>93</v>
      </c>
      <c r="AW12" s="22"/>
    </row>
    <row r="13" spans="1:1024" x14ac:dyDescent="0.2">
      <c r="A13" s="24"/>
      <c r="B13" s="24"/>
      <c r="C13" s="24"/>
      <c r="D13" s="24"/>
      <c r="E13" s="24"/>
      <c r="F13" s="24"/>
      <c r="G13" s="24"/>
      <c r="H13" s="24"/>
      <c r="I13" s="25"/>
      <c r="J13" s="24"/>
      <c r="K13" s="26" t="s">
        <v>94</v>
      </c>
      <c r="L13" s="27"/>
      <c r="M13" s="20" t="s">
        <v>95</v>
      </c>
      <c r="N13" s="20" t="s">
        <v>96</v>
      </c>
      <c r="O13" s="19" t="s">
        <v>97</v>
      </c>
      <c r="P13" s="21" t="s">
        <v>98</v>
      </c>
      <c r="Q13" s="21" t="s">
        <v>99</v>
      </c>
      <c r="R13" s="19" t="s">
        <v>100</v>
      </c>
      <c r="S13" s="22" t="s">
        <v>101</v>
      </c>
      <c r="T13" s="22" t="s">
        <v>102</v>
      </c>
      <c r="U13" s="22" t="s">
        <v>103</v>
      </c>
      <c r="V13" s="22" t="s">
        <v>104</v>
      </c>
      <c r="W13" s="22" t="s">
        <v>105</v>
      </c>
      <c r="X13" s="22" t="s">
        <v>106</v>
      </c>
      <c r="Y13" s="22" t="s">
        <v>107</v>
      </c>
      <c r="Z13" s="22" t="s">
        <v>108</v>
      </c>
      <c r="AA13" s="22" t="s">
        <v>109</v>
      </c>
      <c r="AB13" s="22" t="s">
        <v>110</v>
      </c>
      <c r="AC13" s="22" t="s">
        <v>111</v>
      </c>
      <c r="AD13" s="22" t="s">
        <v>112</v>
      </c>
      <c r="AE13" s="22" t="s">
        <v>113</v>
      </c>
      <c r="AF13" s="22" t="s">
        <v>114</v>
      </c>
      <c r="AG13" s="22" t="s">
        <v>115</v>
      </c>
      <c r="AH13" s="22" t="s">
        <v>116</v>
      </c>
      <c r="AI13" s="22" t="s">
        <v>117</v>
      </c>
      <c r="AJ13" s="22" t="s">
        <v>118</v>
      </c>
      <c r="AK13" s="22" t="s">
        <v>119</v>
      </c>
      <c r="AL13" s="22" t="s">
        <v>120</v>
      </c>
      <c r="AM13" s="22" t="s">
        <v>121</v>
      </c>
      <c r="AN13" s="22" t="s">
        <v>122</v>
      </c>
      <c r="AO13" s="22" t="s">
        <v>123</v>
      </c>
      <c r="AP13" s="22" t="s">
        <v>124</v>
      </c>
      <c r="AQ13" s="22" t="s">
        <v>125</v>
      </c>
      <c r="AR13" s="22" t="s">
        <v>126</v>
      </c>
      <c r="AS13" s="22" t="s">
        <v>127</v>
      </c>
      <c r="AT13" s="22" t="s">
        <v>128</v>
      </c>
      <c r="AU13" s="22" t="s">
        <v>129</v>
      </c>
      <c r="AV13" s="22" t="s">
        <v>130</v>
      </c>
      <c r="AW13" s="22"/>
    </row>
    <row r="14" spans="1:1024" x14ac:dyDescent="0.2">
      <c r="A14"/>
      <c r="B14"/>
      <c r="C14"/>
      <c r="D14"/>
      <c r="E14"/>
      <c r="F14"/>
      <c r="G14"/>
      <c r="H14"/>
      <c r="I14" s="6"/>
      <c r="J14"/>
    </row>
    <row r="15" spans="1:1024" ht="12.75" customHeight="1" x14ac:dyDescent="0.2">
      <c r="A15" s="110" t="s">
        <v>131</v>
      </c>
      <c r="B15" s="110"/>
      <c r="C15" s="110"/>
      <c r="D15" s="110"/>
      <c r="E15" s="102" t="s">
        <v>132</v>
      </c>
      <c r="F15" s="102"/>
      <c r="G15" s="111"/>
      <c r="H15" s="111"/>
      <c r="I15" s="111"/>
      <c r="J15"/>
    </row>
    <row r="16" spans="1:1024" ht="12.75" customHeight="1" x14ac:dyDescent="0.2">
      <c r="A16" s="28"/>
      <c r="B16" s="29"/>
      <c r="C16" s="7"/>
      <c r="D16" s="7"/>
      <c r="E16" s="112" t="s">
        <v>133</v>
      </c>
      <c r="F16" s="112"/>
      <c r="G16" s="113" t="s">
        <v>134</v>
      </c>
      <c r="H16" s="113"/>
      <c r="I16" s="113"/>
      <c r="J16"/>
    </row>
    <row r="17" spans="1:10" ht="12.75" customHeight="1" x14ac:dyDescent="0.2">
      <c r="A17" s="110" t="s">
        <v>135</v>
      </c>
      <c r="B17" s="110"/>
      <c r="C17" s="7"/>
      <c r="D17" s="7"/>
      <c r="E17" s="102" t="s">
        <v>132</v>
      </c>
      <c r="F17" s="102"/>
      <c r="G17" s="111"/>
      <c r="H17" s="111"/>
      <c r="I17" s="111"/>
      <c r="J17"/>
    </row>
    <row r="18" spans="1:10" ht="12.75" customHeight="1" x14ac:dyDescent="0.2">
      <c r="A18" s="28"/>
      <c r="B18" s="29"/>
      <c r="C18" s="7"/>
      <c r="D18" s="7"/>
      <c r="E18" s="112" t="s">
        <v>133</v>
      </c>
      <c r="F18" s="112"/>
      <c r="G18" s="113" t="s">
        <v>134</v>
      </c>
      <c r="H18" s="113"/>
      <c r="I18" s="113"/>
      <c r="J18"/>
    </row>
    <row r="19" spans="1:10" x14ac:dyDescent="0.2">
      <c r="A19" s="31"/>
      <c r="B19" s="30"/>
      <c r="C19" s="30"/>
      <c r="D19" s="9"/>
      <c r="E19" s="32"/>
      <c r="F19" s="32"/>
      <c r="G19" s="32"/>
      <c r="H19"/>
      <c r="I19" s="6"/>
      <c r="J19"/>
    </row>
    <row r="20" spans="1:10" x14ac:dyDescent="0.2">
      <c r="A20" s="33" t="s">
        <v>136</v>
      </c>
      <c r="B20" s="9" t="s">
        <v>137</v>
      </c>
      <c r="C20" s="9"/>
      <c r="D20" s="9"/>
      <c r="E20" s="9"/>
      <c r="F20" s="9"/>
      <c r="G20" s="9"/>
      <c r="H20"/>
      <c r="I20" s="6"/>
      <c r="J20"/>
    </row>
    <row r="25" spans="1:10" ht="12.75" customHeight="1" x14ac:dyDescent="0.2"/>
    <row r="26" spans="1:10" ht="12.75" customHeight="1" x14ac:dyDescent="0.2"/>
    <row r="27" spans="1:10" ht="12.75" customHeight="1" x14ac:dyDescent="0.2"/>
    <row r="28" spans="1:10" ht="12.75" customHeight="1" x14ac:dyDescent="0.2"/>
  </sheetData>
  <mergeCells count="66">
    <mergeCell ref="E18:F18"/>
    <mergeCell ref="G18:I18"/>
    <mergeCell ref="E16:F16"/>
    <mergeCell ref="G16:I16"/>
    <mergeCell ref="A17:B17"/>
    <mergeCell ref="E17:F17"/>
    <mergeCell ref="G17:I17"/>
    <mergeCell ref="AQ9:AQ10"/>
    <mergeCell ref="AR9:AR10"/>
    <mergeCell ref="AI9:AI10"/>
    <mergeCell ref="AJ9:AJ10"/>
    <mergeCell ref="AK9:AK10"/>
    <mergeCell ref="AL9:AL10"/>
    <mergeCell ref="A15:D15"/>
    <mergeCell ref="E15:F15"/>
    <mergeCell ref="G15:I15"/>
    <mergeCell ref="AN9:AN10"/>
    <mergeCell ref="AO9:AO10"/>
    <mergeCell ref="AB9:AB10"/>
    <mergeCell ref="AW8:AW10"/>
    <mergeCell ref="B9:F9"/>
    <mergeCell ref="G9:H9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S9:AS10"/>
    <mergeCell ref="V8:X8"/>
    <mergeCell ref="Y8:AJ8"/>
    <mergeCell ref="AK8:AV8"/>
    <mergeCell ref="J8:K9"/>
    <mergeCell ref="O8:O10"/>
    <mergeCell ref="AC9:AC10"/>
    <mergeCell ref="AD9:AD10"/>
    <mergeCell ref="AE9:AE10"/>
    <mergeCell ref="AF9:AF10"/>
    <mergeCell ref="AG9:AG10"/>
    <mergeCell ref="AH9:AH10"/>
    <mergeCell ref="AM9:AM10"/>
    <mergeCell ref="AT9:AT10"/>
    <mergeCell ref="AU9:AU10"/>
    <mergeCell ref="AV9:AV10"/>
    <mergeCell ref="AP9:AP10"/>
    <mergeCell ref="A6:B6"/>
    <mergeCell ref="F6:P6"/>
    <mergeCell ref="B8:H8"/>
    <mergeCell ref="P8:R8"/>
    <mergeCell ref="S8:U8"/>
    <mergeCell ref="A8:A10"/>
    <mergeCell ref="I8:I10"/>
    <mergeCell ref="L8:L10"/>
    <mergeCell ref="M8:M10"/>
    <mergeCell ref="N8:N10"/>
    <mergeCell ref="A2:R2"/>
    <mergeCell ref="A4:B4"/>
    <mergeCell ref="F4:P4"/>
    <mergeCell ref="A5:E5"/>
    <mergeCell ref="F5:P5"/>
  </mergeCells>
  <pageMargins left="0.78749999999999998" right="0.78749999999999998" top="1.063194" bottom="1.063194" header="0.315278" footer="0.315278"/>
  <pageSetup paperSize="9" fitToWidth="0"/>
  <headerFooter>
    <oddHeader>&amp;C&amp;"Times New Roman"&amp;12&amp;A</oddHeader>
    <oddFooter>&amp;C&amp;"Times New Roman"&amp;12Страница &amp;P</oddFooter>
  </headerFooter>
  <colBreaks count="1" manualBreakCount="1">
    <brk id="18" man="1"/>
  </colBreaks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workbookViewId="0">
      <selection activeCell="A2" sqref="A2"/>
    </sheetView>
  </sheetViews>
  <sheetFormatPr defaultRowHeight="12.75" x14ac:dyDescent="0.2"/>
  <cols>
    <col min="1" max="1" width="17.5703125" customWidth="1" collapsed="1"/>
    <col min="2" max="2" width="12.7109375" customWidth="1" collapsed="1"/>
    <col min="3" max="8" width="11.5703125" customWidth="1" collapsed="1"/>
    <col min="9" max="9" width="17.28515625" customWidth="1" collapsed="1"/>
    <col min="10" max="10" width="38.28515625" customWidth="1" collapsed="1"/>
    <col min="11" max="11" width="38.140625" customWidth="1" collapsed="1"/>
    <col min="12" max="12" width="11.5703125" customWidth="1" collapsed="1"/>
    <col min="13" max="13" width="12.42578125" customWidth="1" collapsed="1"/>
    <col min="14" max="1025" width="11.5703125" customWidth="1" collapsed="1"/>
  </cols>
  <sheetData>
    <row r="1" spans="1:27" ht="35.1" customHeight="1" x14ac:dyDescent="0.2">
      <c r="V1" s="110"/>
      <c r="W1" s="110"/>
      <c r="X1" s="110"/>
      <c r="Y1" s="110"/>
      <c r="Z1" s="110"/>
    </row>
    <row r="2" spans="1:27" x14ac:dyDescent="0.2">
      <c r="A2" s="34"/>
      <c r="B2" s="34"/>
      <c r="C2" s="34"/>
      <c r="D2" s="34"/>
      <c r="E2" s="31"/>
      <c r="F2" s="31"/>
      <c r="G2" s="31"/>
      <c r="H2" s="31"/>
      <c r="I2" s="31"/>
      <c r="J2" s="31" t="s">
        <v>138</v>
      </c>
      <c r="K2" s="31"/>
      <c r="L2" s="31"/>
      <c r="M2" s="3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x14ac:dyDescent="0.2">
      <c r="A3" s="34"/>
      <c r="B3" s="34"/>
      <c r="C3" s="34"/>
      <c r="D3" s="34"/>
      <c r="E3" s="31"/>
      <c r="F3" s="31"/>
      <c r="G3" s="31"/>
      <c r="H3" s="31"/>
      <c r="I3" s="31"/>
      <c r="J3" s="31" t="s">
        <v>139</v>
      </c>
      <c r="K3" s="31"/>
      <c r="L3" s="31"/>
      <c r="M3" s="3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x14ac:dyDescent="0.2">
      <c r="A4" s="34"/>
      <c r="B4" s="34"/>
      <c r="C4" s="34"/>
      <c r="D4" s="34"/>
      <c r="E4" s="31"/>
      <c r="F4" s="31"/>
      <c r="G4" s="31"/>
      <c r="H4" s="31"/>
      <c r="I4" s="31"/>
      <c r="J4" s="31" t="s">
        <v>140</v>
      </c>
      <c r="K4" s="31"/>
      <c r="L4" s="31"/>
      <c r="M4" s="3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34"/>
      <c r="B5" s="34"/>
      <c r="C5" s="34"/>
      <c r="D5" s="34"/>
      <c r="E5" s="31"/>
      <c r="F5" s="31"/>
      <c r="G5" s="31"/>
      <c r="H5" s="31"/>
      <c r="I5" s="31"/>
      <c r="J5" s="31"/>
      <c r="K5" s="31"/>
      <c r="L5" s="31"/>
      <c r="M5" s="3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34"/>
      <c r="B6" s="34"/>
      <c r="C6" s="34"/>
      <c r="D6" s="34"/>
      <c r="E6" s="31"/>
      <c r="F6" s="35"/>
      <c r="G6" s="33"/>
      <c r="H6" s="31"/>
      <c r="I6" s="114" t="s">
        <v>141</v>
      </c>
      <c r="J6" s="114"/>
      <c r="K6" s="33" t="s">
        <v>142</v>
      </c>
      <c r="L6" s="31"/>
      <c r="M6" s="3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34"/>
      <c r="B7" s="34"/>
      <c r="C7" s="34"/>
      <c r="D7" s="34"/>
      <c r="E7" s="31"/>
      <c r="F7" s="31"/>
      <c r="G7" s="33"/>
      <c r="H7" s="31"/>
      <c r="I7" s="114" t="s">
        <v>143</v>
      </c>
      <c r="J7" s="114"/>
      <c r="K7" s="33" t="s">
        <v>144</v>
      </c>
      <c r="L7" s="31"/>
      <c r="M7" s="3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34"/>
      <c r="B8" s="34"/>
      <c r="C8" s="34"/>
      <c r="D8" s="34"/>
      <c r="E8" s="31"/>
      <c r="F8" s="31"/>
      <c r="G8" s="33"/>
      <c r="I8" s="114" t="s">
        <v>145</v>
      </c>
      <c r="J8" s="114"/>
      <c r="K8" s="33" t="s">
        <v>146</v>
      </c>
      <c r="L8" s="31"/>
      <c r="M8" s="31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10" spans="1:27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115" t="s">
        <v>147</v>
      </c>
      <c r="L10" s="115"/>
      <c r="M10" s="115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3" spans="1:27" ht="12.75" customHeight="1" x14ac:dyDescent="0.2">
      <c r="A13" s="108" t="s">
        <v>148</v>
      </c>
      <c r="B13" s="108" t="s">
        <v>149</v>
      </c>
      <c r="C13" s="108"/>
      <c r="D13" s="108"/>
      <c r="E13" s="108"/>
      <c r="F13" s="108"/>
      <c r="G13" s="108"/>
      <c r="H13" s="108"/>
      <c r="I13" s="108"/>
      <c r="J13" s="108" t="s">
        <v>150</v>
      </c>
      <c r="K13" s="116" t="s">
        <v>151</v>
      </c>
      <c r="L13" s="108" t="s">
        <v>152</v>
      </c>
      <c r="M13" s="108" t="s">
        <v>153</v>
      </c>
      <c r="N13" s="108" t="s">
        <v>154</v>
      </c>
      <c r="O13" s="108" t="s">
        <v>155</v>
      </c>
      <c r="P13" s="108" t="s">
        <v>156</v>
      </c>
      <c r="Q13" s="108" t="s">
        <v>157</v>
      </c>
    </row>
    <row r="14" spans="1:27" ht="23.85" customHeight="1" x14ac:dyDescent="0.2">
      <c r="A14" s="108"/>
      <c r="B14" s="108" t="s">
        <v>158</v>
      </c>
      <c r="C14" s="108" t="s">
        <v>159</v>
      </c>
      <c r="D14" s="108"/>
      <c r="E14" s="108"/>
      <c r="F14" s="108"/>
      <c r="G14" s="108"/>
      <c r="H14" s="116" t="s">
        <v>160</v>
      </c>
      <c r="I14" s="116"/>
      <c r="J14" s="108"/>
      <c r="K14" s="116"/>
      <c r="L14" s="108"/>
      <c r="M14" s="108"/>
      <c r="N14" s="108"/>
      <c r="O14" s="108"/>
      <c r="P14" s="108"/>
      <c r="Q14" s="108"/>
    </row>
    <row r="15" spans="1:27" ht="51" x14ac:dyDescent="0.2">
      <c r="A15" s="108"/>
      <c r="B15" s="108"/>
      <c r="C15" s="13" t="s">
        <v>38</v>
      </c>
      <c r="D15" s="13" t="s">
        <v>39</v>
      </c>
      <c r="E15" s="13" t="s">
        <v>40</v>
      </c>
      <c r="F15" s="13" t="s">
        <v>41</v>
      </c>
      <c r="G15" s="36" t="s">
        <v>42</v>
      </c>
      <c r="H15" s="13" t="s">
        <v>43</v>
      </c>
      <c r="I15" s="37" t="s">
        <v>44</v>
      </c>
      <c r="J15" s="108"/>
      <c r="K15" s="108"/>
      <c r="L15" s="108"/>
      <c r="M15" s="108"/>
      <c r="N15" s="108"/>
      <c r="O15" s="108"/>
      <c r="P15" s="108"/>
      <c r="Q15" s="108"/>
    </row>
    <row r="16" spans="1:27" x14ac:dyDescent="0.2">
      <c r="A16" s="13">
        <v>2</v>
      </c>
      <c r="B16" s="13">
        <v>3</v>
      </c>
      <c r="C16" s="13" t="s">
        <v>161</v>
      </c>
      <c r="D16" s="13" t="s">
        <v>162</v>
      </c>
      <c r="E16" s="13" t="s">
        <v>163</v>
      </c>
      <c r="F16" s="13" t="s">
        <v>164</v>
      </c>
      <c r="G16" s="13" t="s">
        <v>165</v>
      </c>
      <c r="H16" s="13" t="s">
        <v>166</v>
      </c>
      <c r="I16" s="13" t="s">
        <v>167</v>
      </c>
      <c r="J16" s="38" t="s">
        <v>168</v>
      </c>
      <c r="K16" s="13" t="s">
        <v>169</v>
      </c>
      <c r="L16" s="38" t="s">
        <v>170</v>
      </c>
      <c r="M16" s="13" t="s">
        <v>171</v>
      </c>
      <c r="N16" s="38" t="s">
        <v>172</v>
      </c>
      <c r="O16" s="38">
        <v>16</v>
      </c>
      <c r="P16" s="13">
        <v>17</v>
      </c>
      <c r="Q16" s="38">
        <v>18</v>
      </c>
    </row>
    <row r="17" spans="1:26" ht="25.5" x14ac:dyDescent="0.2">
      <c r="A17" s="13">
        <f>IF(D17="00",J17,IF(E17="00",J17,IF(F17="000",IF(G17="00",J17,J17),A16)))</f>
        <v>2</v>
      </c>
      <c r="B17" s="39" t="s">
        <v>56</v>
      </c>
      <c r="C17" s="39" t="s">
        <v>48</v>
      </c>
      <c r="D17" s="39" t="s">
        <v>49</v>
      </c>
      <c r="E17" s="39" t="s">
        <v>50</v>
      </c>
      <c r="F17" s="39" t="s">
        <v>51</v>
      </c>
      <c r="G17" s="39" t="s">
        <v>52</v>
      </c>
      <c r="H17" s="39" t="s">
        <v>53</v>
      </c>
      <c r="I17" s="39" t="s">
        <v>54</v>
      </c>
      <c r="J17" s="40" t="s">
        <v>55</v>
      </c>
      <c r="K17" s="13" t="s">
        <v>57</v>
      </c>
      <c r="L17" s="41" t="s">
        <v>58</v>
      </c>
      <c r="M17" s="41" t="s">
        <v>59</v>
      </c>
      <c r="N17" s="41" t="s">
        <v>60</v>
      </c>
      <c r="O17" s="41" t="s">
        <v>61</v>
      </c>
      <c r="P17" s="41" t="s">
        <v>62</v>
      </c>
      <c r="Q17" s="41" t="s">
        <v>63</v>
      </c>
    </row>
    <row r="18" spans="1:26" x14ac:dyDescent="0.2">
      <c r="H18" s="1"/>
      <c r="K18" s="42" t="s">
        <v>94</v>
      </c>
      <c r="L18" s="41" t="s">
        <v>95</v>
      </c>
      <c r="M18" s="41" t="s">
        <v>96</v>
      </c>
      <c r="N18" s="41" t="s">
        <v>97</v>
      </c>
      <c r="O18" s="41" t="s">
        <v>98</v>
      </c>
      <c r="P18" s="41" t="s">
        <v>99</v>
      </c>
      <c r="Q18" s="41" t="s">
        <v>100</v>
      </c>
    </row>
    <row r="19" spans="1:26" x14ac:dyDescent="0.2">
      <c r="H19" s="1"/>
      <c r="K19" s="1"/>
      <c r="N19" s="42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 customHeight="1" x14ac:dyDescent="0.2">
      <c r="A20" s="117" t="s">
        <v>173</v>
      </c>
      <c r="B20" s="117"/>
      <c r="C20" s="117"/>
      <c r="F20" s="118"/>
      <c r="G20" s="118"/>
      <c r="H20" s="1"/>
      <c r="I20" s="118"/>
      <c r="J20" s="118"/>
      <c r="K20" s="1"/>
      <c r="L20" s="118"/>
      <c r="M20" s="11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17" t="s">
        <v>174</v>
      </c>
      <c r="B21" s="117"/>
      <c r="C21" s="117"/>
      <c r="F21" s="112" t="s">
        <v>175</v>
      </c>
      <c r="G21" s="112"/>
      <c r="H21" s="1"/>
      <c r="I21" s="112" t="s">
        <v>133</v>
      </c>
      <c r="J21" s="112"/>
      <c r="K21" s="1"/>
      <c r="L21" s="112" t="s">
        <v>134</v>
      </c>
      <c r="M21" s="11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H22" s="1"/>
      <c r="K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H23" s="1"/>
      <c r="K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17" t="s">
        <v>135</v>
      </c>
      <c r="B24" s="117"/>
      <c r="C24" s="117"/>
      <c r="F24" s="118"/>
      <c r="G24" s="118"/>
      <c r="H24" s="1"/>
      <c r="I24" s="118"/>
      <c r="J24" s="118"/>
      <c r="K24" s="1"/>
      <c r="L24" s="118"/>
      <c r="M24" s="1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F25" s="112" t="s">
        <v>175</v>
      </c>
      <c r="G25" s="112"/>
      <c r="H25" s="1"/>
      <c r="I25" s="112" t="s">
        <v>133</v>
      </c>
      <c r="J25" s="112"/>
      <c r="K25" s="1"/>
      <c r="L25" s="112" t="s">
        <v>134</v>
      </c>
      <c r="M25" s="11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17" t="s">
        <v>176</v>
      </c>
      <c r="B26" s="117"/>
      <c r="C26" s="117"/>
      <c r="D26" s="117"/>
      <c r="E26" s="117"/>
      <c r="F26" s="117"/>
      <c r="G26" s="11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19"/>
      <c r="B27" s="119"/>
      <c r="C27" s="119"/>
      <c r="D27" s="119"/>
      <c r="E27" s="119"/>
      <c r="F27" s="119"/>
      <c r="G27" s="119"/>
    </row>
  </sheetData>
  <mergeCells count="34">
    <mergeCell ref="A26:G27"/>
    <mergeCell ref="A24:C24"/>
    <mergeCell ref="F24:G24"/>
    <mergeCell ref="I24:J24"/>
    <mergeCell ref="L24:M24"/>
    <mergeCell ref="F25:G25"/>
    <mergeCell ref="I25:J25"/>
    <mergeCell ref="L25:M25"/>
    <mergeCell ref="A20:C20"/>
    <mergeCell ref="F20:G20"/>
    <mergeCell ref="I20:J20"/>
    <mergeCell ref="L20:M20"/>
    <mergeCell ref="A21:C21"/>
    <mergeCell ref="F21:G21"/>
    <mergeCell ref="I21:J21"/>
    <mergeCell ref="L21:M21"/>
    <mergeCell ref="M13:M15"/>
    <mergeCell ref="N13:N15"/>
    <mergeCell ref="O13:O15"/>
    <mergeCell ref="P13:P15"/>
    <mergeCell ref="Q13:Q15"/>
    <mergeCell ref="B13:I13"/>
    <mergeCell ref="A13:A15"/>
    <mergeCell ref="J13:J15"/>
    <mergeCell ref="K13:K15"/>
    <mergeCell ref="L13:L15"/>
    <mergeCell ref="C14:G14"/>
    <mergeCell ref="H14:I14"/>
    <mergeCell ref="B14:B15"/>
    <mergeCell ref="V1:Z1"/>
    <mergeCell ref="I6:J6"/>
    <mergeCell ref="I7:J7"/>
    <mergeCell ref="I8:J8"/>
    <mergeCell ref="K10:M10"/>
  </mergeCells>
  <pageMargins left="0.78749999999999998" right="0.78749999999999998" top="1.052778" bottom="1.052778" header="0.78749999999999998" footer="0.78749999999999998"/>
  <pageSetup paperSize="9" fitToWidth="0" useFirstPageNumber="1"/>
  <headerFooter>
    <oddHeader>&amp;C&amp;"Times New Roman"&amp;12&amp;A</oddHeader>
    <oddFooter>&amp;C&amp;"Times New Roman"&amp;12Страница &amp;P</oddFooter>
  </headerFooter>
  <extLst>
    <ext uri="smNativeData">
      <pm:sheetPrefs xmlns:pm="smNativeData" day="1542723978" outlineProtect="1" showAltShade="0" showHorizontalRuler="1" showVerticalRuler="1">
        <pm:shade bgClr="FFFFFF" bgLvl="100" fgClr="000000" fgLvl="100" id="0" type="0"/>
        <pm:shade bgClr="FFFFFF" bgLvl="100" fgClr="000000" fgLvl="100" id="1" type="0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готов</vt:lpstr>
      <vt:lpstr>форма</vt:lpstr>
      <vt:lpstr>Лист1</vt:lpstr>
      <vt:lpstr>Footer</vt:lpstr>
      <vt:lpstr>Header</vt:lpstr>
      <vt:lpstr>Row</vt:lpstr>
      <vt:lpstr>готов!Заголовки_для_печати</vt:lpstr>
      <vt:lpstr>готов!Область_печати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Sushko</cp:lastModifiedBy>
  <cp:revision>0</cp:revision>
  <cp:lastPrinted>2023-11-02T05:07:33Z</cp:lastPrinted>
  <dcterms:created xsi:type="dcterms:W3CDTF">2017-06-15T16:31:17Z</dcterms:created>
  <dcterms:modified xsi:type="dcterms:W3CDTF">2023-11-02T05:09:53Z</dcterms:modified>
</cp:coreProperties>
</file>